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600" yWindow="60" windowWidth="12645" windowHeight="12510" tabRatio="835"/>
  </bookViews>
  <sheets>
    <sheet name="Raw Data" sheetId="3" r:id="rId1"/>
    <sheet name="Compilation" sheetId="4" r:id="rId2"/>
    <sheet name="Compilation 2" sheetId="5" r:id="rId3"/>
    <sheet name="Table" sheetId="6" r:id="rId4"/>
  </sheets>
  <definedNames>
    <definedName name="_xlnm.Print_Area" localSheetId="1">Compilation!$A$1:$O$44</definedName>
    <definedName name="_xlnm.Print_Area" localSheetId="2">'Compilation 2'!$A$1:$O$54</definedName>
    <definedName name="_xlnm.Print_Area" localSheetId="0">'Raw Data'!$A$1:$M$162</definedName>
    <definedName name="_xlnm.Print_Area" localSheetId="3">Table!$A$1:$X$138</definedName>
    <definedName name="_xlnm.Print_Titles" localSheetId="0">'Raw Data'!$1:$17</definedName>
    <definedName name="_xlnm.Print_Titles" localSheetId="3">Table!$1:$16</definedName>
  </definedNames>
  <calcPr calcId="145621"/>
</workbook>
</file>

<file path=xl/calcChain.xml><?xml version="1.0" encoding="utf-8"?>
<calcChain xmlns="http://schemas.openxmlformats.org/spreadsheetml/2006/main">
  <c r="O3" i="4" l="1"/>
  <c r="AC16" i="6"/>
  <c r="AE10" i="6"/>
  <c r="AC10" i="6"/>
  <c r="C5" i="4"/>
  <c r="AE9" i="6"/>
  <c r="AD9" i="6"/>
  <c r="AC9" i="6"/>
  <c r="C4" i="4"/>
  <c r="C3" i="4"/>
  <c r="C2" i="4"/>
  <c r="K6" i="5"/>
  <c r="K5" i="5"/>
  <c r="C5" i="5"/>
  <c r="K4" i="5"/>
  <c r="K2" i="5"/>
  <c r="K6" i="4"/>
  <c r="K5" i="4"/>
  <c r="K4" i="4"/>
  <c r="K2" i="4"/>
  <c r="I11" i="3"/>
  <c r="I10" i="3"/>
  <c r="A10" i="3"/>
  <c r="I9" i="3"/>
  <c r="I7" i="3"/>
  <c r="L23" i="3" l="1"/>
  <c r="C4" i="5"/>
  <c r="A9" i="3"/>
  <c r="A8" i="3"/>
  <c r="M8" i="3"/>
  <c r="H23" i="3"/>
  <c r="K23" i="3" s="1"/>
  <c r="C3" i="5"/>
  <c r="O3" i="5"/>
  <c r="C2" i="5"/>
  <c r="A7" i="3"/>
  <c r="E19" i="6"/>
  <c r="E27" i="6"/>
  <c r="E31" i="6"/>
  <c r="E35" i="6"/>
  <c r="E39" i="6"/>
  <c r="E43" i="6"/>
  <c r="E47" i="6"/>
  <c r="E51" i="6"/>
  <c r="E55" i="6"/>
  <c r="E59" i="6"/>
  <c r="E63" i="6"/>
  <c r="E67" i="6"/>
  <c r="E71" i="6"/>
  <c r="E75" i="6"/>
  <c r="E79" i="6"/>
  <c r="E83" i="6"/>
  <c r="E87" i="6"/>
  <c r="E91" i="6"/>
  <c r="E95" i="6"/>
  <c r="E99" i="6"/>
  <c r="E103" i="6"/>
  <c r="E107" i="6"/>
  <c r="E111" i="6"/>
  <c r="E115" i="6"/>
  <c r="E119" i="6"/>
  <c r="E123" i="6"/>
  <c r="E127" i="6"/>
  <c r="E131" i="6"/>
  <c r="E135" i="6"/>
  <c r="E18" i="6"/>
  <c r="E26" i="6"/>
  <c r="E58" i="6"/>
  <c r="E62" i="6"/>
  <c r="E66" i="6"/>
  <c r="E70" i="6"/>
  <c r="E74" i="6"/>
  <c r="E78" i="6"/>
  <c r="E82" i="6"/>
  <c r="E86" i="6"/>
  <c r="E90" i="6"/>
  <c r="E94" i="6"/>
  <c r="E98" i="6"/>
  <c r="E102" i="6"/>
  <c r="E106" i="6"/>
  <c r="E110" i="6"/>
  <c r="E114" i="6"/>
  <c r="E118" i="6"/>
  <c r="E122" i="6"/>
  <c r="E126" i="6"/>
  <c r="E130" i="6"/>
  <c r="E134" i="6"/>
  <c r="E24" i="6"/>
  <c r="E20" i="6"/>
  <c r="E136" i="6"/>
  <c r="E133" i="6"/>
  <c r="E132" i="6"/>
  <c r="E129" i="6"/>
  <c r="E128" i="6"/>
  <c r="E125" i="6"/>
  <c r="E124" i="6"/>
  <c r="E121" i="6"/>
  <c r="E120" i="6"/>
  <c r="E117" i="6"/>
  <c r="E116" i="6"/>
  <c r="E113" i="6"/>
  <c r="E112" i="6"/>
  <c r="E109" i="6"/>
  <c r="E108" i="6"/>
  <c r="E105" i="6"/>
  <c r="E104" i="6"/>
  <c r="E101" i="6"/>
  <c r="E100" i="6"/>
  <c r="E97" i="6"/>
  <c r="E96" i="6"/>
  <c r="E93" i="6"/>
  <c r="E92" i="6"/>
  <c r="E89" i="6"/>
  <c r="E88" i="6"/>
  <c r="E85" i="6"/>
  <c r="E84" i="6"/>
  <c r="E81" i="6"/>
  <c r="E80" i="6"/>
  <c r="E77" i="6"/>
  <c r="E76" i="6"/>
  <c r="E73" i="6"/>
  <c r="E72" i="6"/>
  <c r="E69" i="6"/>
  <c r="E68" i="6"/>
  <c r="E65" i="6"/>
  <c r="E64" i="6"/>
  <c r="E61" i="6"/>
  <c r="E60" i="6"/>
  <c r="E57" i="6"/>
  <c r="E56" i="6"/>
  <c r="E25" i="6"/>
  <c r="E23" i="6"/>
  <c r="E21" i="6"/>
  <c r="E54" i="6"/>
  <c r="E53" i="6"/>
  <c r="E52" i="6"/>
  <c r="E50" i="6"/>
  <c r="E49" i="6"/>
  <c r="E48" i="6"/>
  <c r="E46" i="6"/>
  <c r="E45" i="6"/>
  <c r="E44" i="6"/>
  <c r="E42" i="6"/>
  <c r="E41" i="6"/>
  <c r="E40" i="6"/>
  <c r="E38" i="6"/>
  <c r="E37" i="6"/>
  <c r="E36" i="6"/>
  <c r="E34" i="6"/>
  <c r="E33" i="6"/>
  <c r="E32" i="6"/>
  <c r="E30" i="6"/>
  <c r="E29" i="6"/>
  <c r="E28" i="6"/>
  <c r="E22" i="6"/>
  <c r="M30" i="3" l="1"/>
  <c r="O2" i="5"/>
  <c r="M7" i="3"/>
  <c r="O2" i="4"/>
  <c r="I27" i="6"/>
  <c r="F26" i="6"/>
  <c r="F29" i="6"/>
  <c r="AN25" i="6"/>
  <c r="I30" i="6"/>
  <c r="F33" i="6"/>
  <c r="I34" i="6"/>
  <c r="F37" i="6"/>
  <c r="I38" i="6"/>
  <c r="F41" i="6"/>
  <c r="I42" i="6"/>
  <c r="F45" i="6"/>
  <c r="I46" i="6"/>
  <c r="F51" i="6"/>
  <c r="I52" i="6"/>
  <c r="I56" i="6"/>
  <c r="F55" i="6"/>
  <c r="AN21" i="6"/>
  <c r="I26" i="6"/>
  <c r="F25" i="6"/>
  <c r="F58" i="6"/>
  <c r="I59" i="6"/>
  <c r="F64" i="6"/>
  <c r="I65" i="6"/>
  <c r="AN20" i="6"/>
  <c r="F68" i="6"/>
  <c r="I69" i="6"/>
  <c r="AN19" i="6"/>
  <c r="F72" i="6"/>
  <c r="I73" i="6"/>
  <c r="F76" i="6"/>
  <c r="I77" i="6"/>
  <c r="F78" i="6"/>
  <c r="I79" i="6"/>
  <c r="F82" i="6"/>
  <c r="I83" i="6"/>
  <c r="F86" i="6"/>
  <c r="I87" i="6"/>
  <c r="F90" i="6"/>
  <c r="I91" i="6"/>
  <c r="F94" i="6"/>
  <c r="I95" i="6"/>
  <c r="I99" i="6"/>
  <c r="F98" i="6"/>
  <c r="F102" i="6"/>
  <c r="I103" i="6"/>
  <c r="F108" i="6"/>
  <c r="I109" i="6"/>
  <c r="F112" i="6"/>
  <c r="I113" i="6"/>
  <c r="I117" i="6"/>
  <c r="F116" i="6"/>
  <c r="I121" i="6"/>
  <c r="F120" i="6"/>
  <c r="AN11" i="6"/>
  <c r="I125" i="6"/>
  <c r="F124" i="6"/>
  <c r="I127" i="6"/>
  <c r="F126" i="6"/>
  <c r="I131" i="6"/>
  <c r="F130" i="6"/>
  <c r="I135" i="6"/>
  <c r="F134" i="6"/>
  <c r="I25" i="6"/>
  <c r="F24" i="6"/>
  <c r="I23" i="6"/>
  <c r="F22" i="6"/>
  <c r="F28" i="6"/>
  <c r="I29" i="6"/>
  <c r="F30" i="6"/>
  <c r="I31" i="6"/>
  <c r="F32" i="6"/>
  <c r="I33" i="6"/>
  <c r="F34" i="6"/>
  <c r="I35" i="6"/>
  <c r="F36" i="6"/>
  <c r="I37" i="6"/>
  <c r="F38" i="6"/>
  <c r="I39" i="6"/>
  <c r="F40" i="6"/>
  <c r="I41" i="6"/>
  <c r="F42" i="6"/>
  <c r="AN23" i="6"/>
  <c r="I43" i="6"/>
  <c r="F44" i="6"/>
  <c r="I45" i="6"/>
  <c r="F46" i="6"/>
  <c r="I47" i="6"/>
  <c r="F48" i="6"/>
  <c r="I49" i="6"/>
  <c r="F50" i="6"/>
  <c r="I51" i="6"/>
  <c r="F52" i="6"/>
  <c r="I53" i="6"/>
  <c r="F54" i="6"/>
  <c r="I55" i="6"/>
  <c r="F19" i="6"/>
  <c r="I20" i="6"/>
  <c r="F23" i="6"/>
  <c r="I24" i="6"/>
  <c r="I28" i="6"/>
  <c r="F27" i="6"/>
  <c r="F57" i="6"/>
  <c r="I58" i="6"/>
  <c r="F59" i="6"/>
  <c r="I60" i="6"/>
  <c r="F61" i="6"/>
  <c r="I62" i="6"/>
  <c r="F63" i="6"/>
  <c r="I64" i="6"/>
  <c r="F65" i="6"/>
  <c r="I66" i="6"/>
  <c r="F67" i="6"/>
  <c r="I68" i="6"/>
  <c r="F69" i="6"/>
  <c r="I70" i="6"/>
  <c r="F71" i="6"/>
  <c r="I72" i="6"/>
  <c r="F73" i="6"/>
  <c r="I74" i="6"/>
  <c r="AN18" i="6"/>
  <c r="F75" i="6"/>
  <c r="I76" i="6"/>
  <c r="F77" i="6"/>
  <c r="I78" i="6"/>
  <c r="F79" i="6"/>
  <c r="I80" i="6"/>
  <c r="F81" i="6"/>
  <c r="I82" i="6"/>
  <c r="AN17" i="6"/>
  <c r="F83" i="6"/>
  <c r="I84" i="6"/>
  <c r="F85" i="6"/>
  <c r="I86" i="6"/>
  <c r="F87" i="6"/>
  <c r="I88" i="6"/>
  <c r="F89" i="6"/>
  <c r="I90" i="6"/>
  <c r="F91" i="6"/>
  <c r="I92" i="6"/>
  <c r="AN16" i="6"/>
  <c r="F93" i="6"/>
  <c r="I94" i="6"/>
  <c r="F95" i="6"/>
  <c r="I96" i="6"/>
  <c r="AN15" i="6"/>
  <c r="F97" i="6"/>
  <c r="I98" i="6"/>
  <c r="F99" i="6"/>
  <c r="I100" i="6"/>
  <c r="AN14" i="6"/>
  <c r="F101" i="6"/>
  <c r="I102" i="6"/>
  <c r="F103" i="6"/>
  <c r="I104" i="6"/>
  <c r="F105" i="6"/>
  <c r="I106" i="6"/>
  <c r="F107" i="6"/>
  <c r="I108" i="6"/>
  <c r="AN13" i="6"/>
  <c r="F109" i="6"/>
  <c r="I110" i="6"/>
  <c r="F111" i="6"/>
  <c r="I112" i="6"/>
  <c r="F113" i="6"/>
  <c r="I114" i="6"/>
  <c r="F115" i="6"/>
  <c r="I116" i="6"/>
  <c r="I118" i="6"/>
  <c r="F117" i="6"/>
  <c r="AN12" i="6"/>
  <c r="I120" i="6"/>
  <c r="F119" i="6"/>
  <c r="I122" i="6"/>
  <c r="F121" i="6"/>
  <c r="I124" i="6"/>
  <c r="F123" i="6"/>
  <c r="I126" i="6"/>
  <c r="F125" i="6"/>
  <c r="AN10" i="6"/>
  <c r="I128" i="6"/>
  <c r="F127" i="6"/>
  <c r="I130" i="6"/>
  <c r="F129" i="6"/>
  <c r="I132" i="6"/>
  <c r="F131" i="6"/>
  <c r="I134" i="6"/>
  <c r="F133" i="6"/>
  <c r="AN9" i="6"/>
  <c r="I136" i="6"/>
  <c r="F135" i="6"/>
  <c r="AN8" i="6"/>
  <c r="I21" i="6"/>
  <c r="F20" i="6"/>
  <c r="M136" i="6"/>
  <c r="N136" i="6"/>
  <c r="P136" i="6" s="1"/>
  <c r="L136" i="6"/>
  <c r="O136" i="6" s="1"/>
  <c r="M134" i="6"/>
  <c r="N134" i="6"/>
  <c r="P134" i="6" s="1"/>
  <c r="L134" i="6"/>
  <c r="O134" i="6" s="1"/>
  <c r="M132" i="6"/>
  <c r="N132" i="6"/>
  <c r="P132" i="6" s="1"/>
  <c r="L132" i="6"/>
  <c r="O132" i="6" s="1"/>
  <c r="M130" i="6"/>
  <c r="N130" i="6"/>
  <c r="P130" i="6" s="1"/>
  <c r="L130" i="6"/>
  <c r="O130" i="6" s="1"/>
  <c r="M128" i="6"/>
  <c r="N128" i="6"/>
  <c r="P128" i="6" s="1"/>
  <c r="L128" i="6"/>
  <c r="O128" i="6" s="1"/>
  <c r="M126" i="6"/>
  <c r="N126" i="6"/>
  <c r="P126" i="6" s="1"/>
  <c r="L126" i="6"/>
  <c r="O126" i="6" s="1"/>
  <c r="M124" i="6"/>
  <c r="N124" i="6"/>
  <c r="P124" i="6" s="1"/>
  <c r="L124" i="6"/>
  <c r="O124" i="6" s="1"/>
  <c r="M122" i="6"/>
  <c r="N122" i="6"/>
  <c r="P122" i="6" s="1"/>
  <c r="L122" i="6"/>
  <c r="O122" i="6" s="1"/>
  <c r="M120" i="6"/>
  <c r="N120" i="6"/>
  <c r="P120" i="6" s="1"/>
  <c r="L120" i="6"/>
  <c r="O120" i="6" s="1"/>
  <c r="M118" i="6"/>
  <c r="N118" i="6"/>
  <c r="P118" i="6" s="1"/>
  <c r="L118" i="6"/>
  <c r="O118" i="6" s="1"/>
  <c r="M116" i="6"/>
  <c r="N116" i="6"/>
  <c r="P116" i="6" s="1"/>
  <c r="L116" i="6"/>
  <c r="O116" i="6" s="1"/>
  <c r="N114" i="6"/>
  <c r="P114" i="6" s="1"/>
  <c r="L114" i="6"/>
  <c r="O114" i="6" s="1"/>
  <c r="M114" i="6"/>
  <c r="N112" i="6"/>
  <c r="P112" i="6" s="1"/>
  <c r="L112" i="6"/>
  <c r="O112" i="6" s="1"/>
  <c r="M112" i="6"/>
  <c r="N110" i="6"/>
  <c r="P110" i="6" s="1"/>
  <c r="L110" i="6"/>
  <c r="O110" i="6" s="1"/>
  <c r="M110" i="6"/>
  <c r="N108" i="6"/>
  <c r="P108" i="6" s="1"/>
  <c r="L108" i="6"/>
  <c r="O108" i="6" s="1"/>
  <c r="M108" i="6"/>
  <c r="N106" i="6"/>
  <c r="P106" i="6" s="1"/>
  <c r="L106" i="6"/>
  <c r="O106" i="6" s="1"/>
  <c r="M106" i="6"/>
  <c r="N104" i="6"/>
  <c r="P104" i="6" s="1"/>
  <c r="L104" i="6"/>
  <c r="O104" i="6" s="1"/>
  <c r="M104" i="6"/>
  <c r="N102" i="6"/>
  <c r="P102" i="6" s="1"/>
  <c r="L102" i="6"/>
  <c r="O102" i="6" s="1"/>
  <c r="M102" i="6"/>
  <c r="N100" i="6"/>
  <c r="P100" i="6" s="1"/>
  <c r="L100" i="6"/>
  <c r="O100" i="6" s="1"/>
  <c r="M100" i="6"/>
  <c r="N98" i="6"/>
  <c r="P98" i="6" s="1"/>
  <c r="L98" i="6"/>
  <c r="O98" i="6" s="1"/>
  <c r="M98" i="6"/>
  <c r="N96" i="6"/>
  <c r="P96" i="6" s="1"/>
  <c r="L96" i="6"/>
  <c r="O96" i="6" s="1"/>
  <c r="M96" i="6"/>
  <c r="N94" i="6"/>
  <c r="P94" i="6" s="1"/>
  <c r="L94" i="6"/>
  <c r="O94" i="6" s="1"/>
  <c r="M94" i="6"/>
  <c r="N92" i="6"/>
  <c r="P92" i="6" s="1"/>
  <c r="L92" i="6"/>
  <c r="O92" i="6" s="1"/>
  <c r="M92" i="6"/>
  <c r="N90" i="6"/>
  <c r="P90" i="6" s="1"/>
  <c r="L90" i="6"/>
  <c r="O90" i="6" s="1"/>
  <c r="M90" i="6"/>
  <c r="N88" i="6"/>
  <c r="P88" i="6" s="1"/>
  <c r="L88" i="6"/>
  <c r="O88" i="6" s="1"/>
  <c r="M88" i="6"/>
  <c r="N86" i="6"/>
  <c r="P86" i="6" s="1"/>
  <c r="L86" i="6"/>
  <c r="O86" i="6" s="1"/>
  <c r="M86" i="6"/>
  <c r="N84" i="6"/>
  <c r="P84" i="6" s="1"/>
  <c r="L84" i="6"/>
  <c r="O84" i="6" s="1"/>
  <c r="M84" i="6"/>
  <c r="N82" i="6"/>
  <c r="P82" i="6" s="1"/>
  <c r="L82" i="6"/>
  <c r="O82" i="6" s="1"/>
  <c r="M82" i="6"/>
  <c r="N80" i="6"/>
  <c r="P80" i="6" s="1"/>
  <c r="L80" i="6"/>
  <c r="O80" i="6" s="1"/>
  <c r="M80" i="6"/>
  <c r="N78" i="6"/>
  <c r="P78" i="6" s="1"/>
  <c r="L78" i="6"/>
  <c r="O78" i="6" s="1"/>
  <c r="M78" i="6"/>
  <c r="N76" i="6"/>
  <c r="P76" i="6" s="1"/>
  <c r="L76" i="6"/>
  <c r="O76" i="6" s="1"/>
  <c r="M76" i="6"/>
  <c r="N74" i="6"/>
  <c r="P74" i="6" s="1"/>
  <c r="L74" i="6"/>
  <c r="O74" i="6" s="1"/>
  <c r="M74" i="6"/>
  <c r="N72" i="6"/>
  <c r="P72" i="6" s="1"/>
  <c r="L72" i="6"/>
  <c r="O72" i="6" s="1"/>
  <c r="M72" i="6"/>
  <c r="N70" i="6"/>
  <c r="P70" i="6" s="1"/>
  <c r="L70" i="6"/>
  <c r="O70" i="6" s="1"/>
  <c r="M70" i="6"/>
  <c r="N68" i="6"/>
  <c r="P68" i="6" s="1"/>
  <c r="L68" i="6"/>
  <c r="O68" i="6" s="1"/>
  <c r="M68" i="6"/>
  <c r="N66" i="6"/>
  <c r="P66" i="6" s="1"/>
  <c r="L66" i="6"/>
  <c r="O66" i="6" s="1"/>
  <c r="M66" i="6"/>
  <c r="N64" i="6"/>
  <c r="P64" i="6" s="1"/>
  <c r="L64" i="6"/>
  <c r="O64" i="6" s="1"/>
  <c r="M64" i="6"/>
  <c r="N62" i="6"/>
  <c r="P62" i="6" s="1"/>
  <c r="L62" i="6"/>
  <c r="O62" i="6" s="1"/>
  <c r="M62" i="6"/>
  <c r="N60" i="6"/>
  <c r="P60" i="6" s="1"/>
  <c r="L60" i="6"/>
  <c r="O60" i="6" s="1"/>
  <c r="M60" i="6"/>
  <c r="N58" i="6"/>
  <c r="P58" i="6" s="1"/>
  <c r="L58" i="6"/>
  <c r="O58" i="6" s="1"/>
  <c r="M58" i="6"/>
  <c r="N56" i="6"/>
  <c r="P56" i="6" s="1"/>
  <c r="L56" i="6"/>
  <c r="O56" i="6" s="1"/>
  <c r="M56" i="6"/>
  <c r="N54" i="6"/>
  <c r="P54" i="6" s="1"/>
  <c r="L54" i="6"/>
  <c r="O54" i="6" s="1"/>
  <c r="M54" i="6"/>
  <c r="N52" i="6"/>
  <c r="P52" i="6" s="1"/>
  <c r="L52" i="6"/>
  <c r="O52" i="6" s="1"/>
  <c r="M52" i="6"/>
  <c r="N50" i="6"/>
  <c r="P50" i="6" s="1"/>
  <c r="L50" i="6"/>
  <c r="O50" i="6" s="1"/>
  <c r="M50" i="6"/>
  <c r="N48" i="6"/>
  <c r="P48" i="6" s="1"/>
  <c r="L48" i="6"/>
  <c r="O48" i="6" s="1"/>
  <c r="M48" i="6"/>
  <c r="N46" i="6"/>
  <c r="P46" i="6" s="1"/>
  <c r="L46" i="6"/>
  <c r="O46" i="6" s="1"/>
  <c r="M46" i="6"/>
  <c r="N44" i="6"/>
  <c r="P44" i="6" s="1"/>
  <c r="L44" i="6"/>
  <c r="O44" i="6" s="1"/>
  <c r="M44" i="6"/>
  <c r="N42" i="6"/>
  <c r="P42" i="6" s="1"/>
  <c r="L42" i="6"/>
  <c r="O42" i="6" s="1"/>
  <c r="M42" i="6"/>
  <c r="N40" i="6"/>
  <c r="P40" i="6" s="1"/>
  <c r="L40" i="6"/>
  <c r="O40" i="6" s="1"/>
  <c r="M40" i="6"/>
  <c r="N38" i="6"/>
  <c r="P38" i="6" s="1"/>
  <c r="L38" i="6"/>
  <c r="O38" i="6" s="1"/>
  <c r="M38" i="6"/>
  <c r="N36" i="6"/>
  <c r="P36" i="6" s="1"/>
  <c r="L36" i="6"/>
  <c r="O36" i="6" s="1"/>
  <c r="M36" i="6"/>
  <c r="N34" i="6"/>
  <c r="P34" i="6" s="1"/>
  <c r="L34" i="6"/>
  <c r="O34" i="6" s="1"/>
  <c r="M34" i="6"/>
  <c r="N32" i="6"/>
  <c r="P32" i="6" s="1"/>
  <c r="L32" i="6"/>
  <c r="O32" i="6" s="1"/>
  <c r="M32" i="6"/>
  <c r="N30" i="6"/>
  <c r="P30" i="6" s="1"/>
  <c r="L30" i="6"/>
  <c r="O30" i="6" s="1"/>
  <c r="M30" i="6"/>
  <c r="N28" i="6"/>
  <c r="P28" i="6" s="1"/>
  <c r="L28" i="6"/>
  <c r="O28" i="6" s="1"/>
  <c r="M28" i="6"/>
  <c r="N26" i="6"/>
  <c r="P26" i="6" s="1"/>
  <c r="L26" i="6"/>
  <c r="O26" i="6" s="1"/>
  <c r="M26" i="6"/>
  <c r="N24" i="6"/>
  <c r="P24" i="6" s="1"/>
  <c r="L24" i="6"/>
  <c r="O24" i="6" s="1"/>
  <c r="M24" i="6"/>
  <c r="N22" i="6"/>
  <c r="P22" i="6" s="1"/>
  <c r="L22" i="6"/>
  <c r="O22" i="6" s="1"/>
  <c r="M22" i="6"/>
  <c r="N20" i="6"/>
  <c r="P20" i="6" s="1"/>
  <c r="L20" i="6"/>
  <c r="O20" i="6" s="1"/>
  <c r="M20" i="6"/>
  <c r="M135" i="6"/>
  <c r="N135" i="6"/>
  <c r="P135" i="6" s="1"/>
  <c r="L135" i="6"/>
  <c r="O135" i="6" s="1"/>
  <c r="M133" i="6"/>
  <c r="N133" i="6"/>
  <c r="P133" i="6" s="1"/>
  <c r="L133" i="6"/>
  <c r="O133" i="6" s="1"/>
  <c r="M131" i="6"/>
  <c r="N131" i="6"/>
  <c r="P131" i="6" s="1"/>
  <c r="L131" i="6"/>
  <c r="O131" i="6" s="1"/>
  <c r="M129" i="6"/>
  <c r="N129" i="6"/>
  <c r="P129" i="6" s="1"/>
  <c r="L129" i="6"/>
  <c r="O129" i="6" s="1"/>
  <c r="M127" i="6"/>
  <c r="N127" i="6"/>
  <c r="P127" i="6" s="1"/>
  <c r="L127" i="6"/>
  <c r="O127" i="6" s="1"/>
  <c r="M125" i="6"/>
  <c r="N125" i="6"/>
  <c r="P125" i="6" s="1"/>
  <c r="L125" i="6"/>
  <c r="O125" i="6" s="1"/>
  <c r="M123" i="6"/>
  <c r="N123" i="6"/>
  <c r="P123" i="6" s="1"/>
  <c r="L123" i="6"/>
  <c r="O123" i="6" s="1"/>
  <c r="M121" i="6"/>
  <c r="N121" i="6"/>
  <c r="P121" i="6" s="1"/>
  <c r="L121" i="6"/>
  <c r="O121" i="6" s="1"/>
  <c r="M119" i="6"/>
  <c r="N119" i="6"/>
  <c r="P119" i="6" s="1"/>
  <c r="L119" i="6"/>
  <c r="O119" i="6" s="1"/>
  <c r="M117" i="6"/>
  <c r="N117" i="6"/>
  <c r="P117" i="6" s="1"/>
  <c r="L117" i="6"/>
  <c r="O117" i="6" s="1"/>
  <c r="N115" i="6"/>
  <c r="P115" i="6" s="1"/>
  <c r="L115" i="6"/>
  <c r="O115" i="6" s="1"/>
  <c r="M115" i="6"/>
  <c r="N113" i="6"/>
  <c r="P113" i="6" s="1"/>
  <c r="L113" i="6"/>
  <c r="O113" i="6" s="1"/>
  <c r="M113" i="6"/>
  <c r="N111" i="6"/>
  <c r="P111" i="6" s="1"/>
  <c r="L111" i="6"/>
  <c r="O111" i="6" s="1"/>
  <c r="M111" i="6"/>
  <c r="N109" i="6"/>
  <c r="P109" i="6" s="1"/>
  <c r="L109" i="6"/>
  <c r="O109" i="6" s="1"/>
  <c r="M109" i="6"/>
  <c r="N107" i="6"/>
  <c r="P107" i="6" s="1"/>
  <c r="L107" i="6"/>
  <c r="O107" i="6" s="1"/>
  <c r="M107" i="6"/>
  <c r="N105" i="6"/>
  <c r="P105" i="6" s="1"/>
  <c r="L105" i="6"/>
  <c r="O105" i="6" s="1"/>
  <c r="M105" i="6"/>
  <c r="N103" i="6"/>
  <c r="P103" i="6" s="1"/>
  <c r="L103" i="6"/>
  <c r="O103" i="6" s="1"/>
  <c r="M103" i="6"/>
  <c r="N101" i="6"/>
  <c r="P101" i="6" s="1"/>
  <c r="L101" i="6"/>
  <c r="O101" i="6" s="1"/>
  <c r="M101" i="6"/>
  <c r="N99" i="6"/>
  <c r="P99" i="6" s="1"/>
  <c r="L99" i="6"/>
  <c r="O99" i="6" s="1"/>
  <c r="M99" i="6"/>
  <c r="N97" i="6"/>
  <c r="P97" i="6" s="1"/>
  <c r="L97" i="6"/>
  <c r="O97" i="6" s="1"/>
  <c r="M97" i="6"/>
  <c r="N95" i="6"/>
  <c r="P95" i="6" s="1"/>
  <c r="L95" i="6"/>
  <c r="O95" i="6" s="1"/>
  <c r="M95" i="6"/>
  <c r="N93" i="6"/>
  <c r="P93" i="6" s="1"/>
  <c r="L93" i="6"/>
  <c r="O93" i="6" s="1"/>
  <c r="M93" i="6"/>
  <c r="N91" i="6"/>
  <c r="P91" i="6" s="1"/>
  <c r="L91" i="6"/>
  <c r="O91" i="6" s="1"/>
  <c r="M91" i="6"/>
  <c r="N89" i="6"/>
  <c r="P89" i="6" s="1"/>
  <c r="L89" i="6"/>
  <c r="O89" i="6" s="1"/>
  <c r="M89" i="6"/>
  <c r="N87" i="6"/>
  <c r="P87" i="6" s="1"/>
  <c r="L87" i="6"/>
  <c r="O87" i="6" s="1"/>
  <c r="M87" i="6"/>
  <c r="N85" i="6"/>
  <c r="P85" i="6" s="1"/>
  <c r="L85" i="6"/>
  <c r="O85" i="6" s="1"/>
  <c r="M85" i="6"/>
  <c r="N83" i="6"/>
  <c r="P83" i="6" s="1"/>
  <c r="L83" i="6"/>
  <c r="O83" i="6" s="1"/>
  <c r="M83" i="6"/>
  <c r="N81" i="6"/>
  <c r="P81" i="6" s="1"/>
  <c r="L81" i="6"/>
  <c r="O81" i="6" s="1"/>
  <c r="M81" i="6"/>
  <c r="N79" i="6"/>
  <c r="P79" i="6" s="1"/>
  <c r="L79" i="6"/>
  <c r="O79" i="6" s="1"/>
  <c r="M79" i="6"/>
  <c r="N77" i="6"/>
  <c r="P77" i="6" s="1"/>
  <c r="L77" i="6"/>
  <c r="M77" i="6"/>
  <c r="N75" i="6"/>
  <c r="P75" i="6" s="1"/>
  <c r="L75" i="6"/>
  <c r="O75" i="6" s="1"/>
  <c r="M75" i="6"/>
  <c r="N73" i="6"/>
  <c r="P73" i="6" s="1"/>
  <c r="L73" i="6"/>
  <c r="O73" i="6" s="1"/>
  <c r="M73" i="6"/>
  <c r="N71" i="6"/>
  <c r="P71" i="6" s="1"/>
  <c r="L71" i="6"/>
  <c r="O71" i="6" s="1"/>
  <c r="M71" i="6"/>
  <c r="N69" i="6"/>
  <c r="P69" i="6" s="1"/>
  <c r="L69" i="6"/>
  <c r="O69" i="6" s="1"/>
  <c r="M69" i="6"/>
  <c r="N67" i="6"/>
  <c r="P67" i="6" s="1"/>
  <c r="L67" i="6"/>
  <c r="O67" i="6" s="1"/>
  <c r="M67" i="6"/>
  <c r="N65" i="6"/>
  <c r="P65" i="6" s="1"/>
  <c r="L65" i="6"/>
  <c r="O65" i="6" s="1"/>
  <c r="M65" i="6"/>
  <c r="N63" i="6"/>
  <c r="P63" i="6" s="1"/>
  <c r="L63" i="6"/>
  <c r="O63" i="6" s="1"/>
  <c r="M63" i="6"/>
  <c r="N61" i="6"/>
  <c r="P61" i="6" s="1"/>
  <c r="L61" i="6"/>
  <c r="O61" i="6" s="1"/>
  <c r="M61" i="6"/>
  <c r="N59" i="6"/>
  <c r="P59" i="6" s="1"/>
  <c r="L59" i="6"/>
  <c r="O59" i="6" s="1"/>
  <c r="M59" i="6"/>
  <c r="N57" i="6"/>
  <c r="P57" i="6" s="1"/>
  <c r="L57" i="6"/>
  <c r="O57" i="6" s="1"/>
  <c r="M57" i="6"/>
  <c r="N55" i="6"/>
  <c r="P55" i="6" s="1"/>
  <c r="L55" i="6"/>
  <c r="O55" i="6" s="1"/>
  <c r="M55" i="6"/>
  <c r="N53" i="6"/>
  <c r="P53" i="6" s="1"/>
  <c r="L53" i="6"/>
  <c r="O53" i="6" s="1"/>
  <c r="M53" i="6"/>
  <c r="N51" i="6"/>
  <c r="P51" i="6" s="1"/>
  <c r="L51" i="6"/>
  <c r="O51" i="6" s="1"/>
  <c r="M51" i="6"/>
  <c r="N49" i="6"/>
  <c r="P49" i="6" s="1"/>
  <c r="L49" i="6"/>
  <c r="O49" i="6" s="1"/>
  <c r="M49" i="6"/>
  <c r="N47" i="6"/>
  <c r="P47" i="6" s="1"/>
  <c r="L47" i="6"/>
  <c r="O47" i="6" s="1"/>
  <c r="M47" i="6"/>
  <c r="N45" i="6"/>
  <c r="P45" i="6" s="1"/>
  <c r="L45" i="6"/>
  <c r="O45" i="6" s="1"/>
  <c r="M45" i="6"/>
  <c r="N43" i="6"/>
  <c r="P43" i="6" s="1"/>
  <c r="L43" i="6"/>
  <c r="O43" i="6" s="1"/>
  <c r="M43" i="6"/>
  <c r="N41" i="6"/>
  <c r="P41" i="6" s="1"/>
  <c r="L41" i="6"/>
  <c r="O41" i="6" s="1"/>
  <c r="M41" i="6"/>
  <c r="N39" i="6"/>
  <c r="P39" i="6" s="1"/>
  <c r="L39" i="6"/>
  <c r="O39" i="6" s="1"/>
  <c r="M39" i="6"/>
  <c r="N37" i="6"/>
  <c r="P37" i="6" s="1"/>
  <c r="L37" i="6"/>
  <c r="O37" i="6" s="1"/>
  <c r="M37" i="6"/>
  <c r="N35" i="6"/>
  <c r="P35" i="6" s="1"/>
  <c r="L35" i="6"/>
  <c r="O35" i="6" s="1"/>
  <c r="M35" i="6"/>
  <c r="N33" i="6"/>
  <c r="P33" i="6" s="1"/>
  <c r="L33" i="6"/>
  <c r="O33" i="6" s="1"/>
  <c r="M33" i="6"/>
  <c r="N31" i="6"/>
  <c r="P31" i="6" s="1"/>
  <c r="L31" i="6"/>
  <c r="O31" i="6" s="1"/>
  <c r="M31" i="6"/>
  <c r="N29" i="6"/>
  <c r="P29" i="6" s="1"/>
  <c r="L29" i="6"/>
  <c r="O29" i="6" s="1"/>
  <c r="M29" i="6"/>
  <c r="M27" i="6"/>
  <c r="N27" i="6"/>
  <c r="P27" i="6" s="1"/>
  <c r="L27" i="6"/>
  <c r="O27" i="6" s="1"/>
  <c r="M25" i="6"/>
  <c r="L25" i="6"/>
  <c r="O25" i="6" s="1"/>
  <c r="N25" i="6"/>
  <c r="P25" i="6" s="1"/>
  <c r="M23" i="6"/>
  <c r="N23" i="6"/>
  <c r="P23" i="6" s="1"/>
  <c r="L23" i="6"/>
  <c r="O23" i="6" s="1"/>
  <c r="M21" i="6"/>
  <c r="L21" i="6"/>
  <c r="O21" i="6" s="1"/>
  <c r="N21" i="6"/>
  <c r="P21" i="6" s="1"/>
  <c r="M19" i="6"/>
  <c r="N19" i="6"/>
  <c r="P19" i="6" s="1"/>
  <c r="L19" i="6"/>
  <c r="O19" i="6" s="1"/>
  <c r="AN27" i="6"/>
  <c r="I19" i="6"/>
  <c r="F18" i="6"/>
  <c r="I18" i="6"/>
  <c r="F31" i="6"/>
  <c r="I32" i="6"/>
  <c r="F35" i="6"/>
  <c r="I36" i="6"/>
  <c r="F39" i="6"/>
  <c r="I40" i="6"/>
  <c r="AN24" i="6"/>
  <c r="F43" i="6"/>
  <c r="I44" i="6"/>
  <c r="F47" i="6"/>
  <c r="I48" i="6"/>
  <c r="AN22" i="6"/>
  <c r="F49" i="6"/>
  <c r="I50" i="6"/>
  <c r="F53" i="6"/>
  <c r="I54" i="6"/>
  <c r="AN26" i="6"/>
  <c r="I22" i="6"/>
  <c r="F21" i="6"/>
  <c r="F56" i="6"/>
  <c r="I57" i="6"/>
  <c r="F60" i="6"/>
  <c r="I61" i="6"/>
  <c r="F62" i="6"/>
  <c r="I63" i="6"/>
  <c r="F66" i="6"/>
  <c r="I67" i="6"/>
  <c r="F70" i="6"/>
  <c r="I71" i="6"/>
  <c r="F74" i="6"/>
  <c r="I75" i="6"/>
  <c r="F80" i="6"/>
  <c r="I81" i="6"/>
  <c r="F84" i="6"/>
  <c r="I85" i="6"/>
  <c r="F88" i="6"/>
  <c r="I89" i="6"/>
  <c r="F92" i="6"/>
  <c r="I93" i="6"/>
  <c r="F96" i="6"/>
  <c r="I97" i="6"/>
  <c r="F100" i="6"/>
  <c r="I101" i="6"/>
  <c r="F104" i="6"/>
  <c r="I105" i="6"/>
  <c r="F106" i="6"/>
  <c r="I107" i="6"/>
  <c r="F110" i="6"/>
  <c r="I111" i="6"/>
  <c r="F114" i="6"/>
  <c r="I115" i="6"/>
  <c r="I119" i="6"/>
  <c r="F118" i="6"/>
  <c r="I123" i="6"/>
  <c r="F122" i="6"/>
  <c r="I129" i="6"/>
  <c r="F128" i="6"/>
  <c r="I133" i="6"/>
  <c r="F132" i="6"/>
  <c r="F136" i="6"/>
  <c r="N18" i="6"/>
  <c r="P18" i="6" s="1"/>
  <c r="L18" i="6"/>
  <c r="O18" i="6" s="1"/>
  <c r="M18" i="6"/>
  <c r="O77" i="6" l="1"/>
  <c r="C18" i="3" l="1"/>
  <c r="R18" i="6" l="1"/>
  <c r="U18" i="6" s="1"/>
  <c r="V18" i="6" s="1"/>
  <c r="Q18" i="6"/>
  <c r="C19" i="3" l="1"/>
  <c r="Q19" i="6" s="1"/>
  <c r="R19" i="6" l="1"/>
  <c r="U19" i="6" s="1"/>
  <c r="V19" i="6" s="1"/>
  <c r="C20" i="3"/>
  <c r="R20" i="6" s="1"/>
  <c r="U20" i="6" s="1"/>
  <c r="V20" i="6" s="1"/>
  <c r="Q20" i="6" l="1"/>
  <c r="C21" i="3"/>
  <c r="Q21" i="6"/>
  <c r="R21" i="6"/>
  <c r="U21" i="6" s="1"/>
  <c r="V21" i="6" s="1"/>
  <c r="C22" i="3" l="1"/>
  <c r="R22" i="6" s="1"/>
  <c r="U22" i="6" s="1"/>
  <c r="V22" i="6" s="1"/>
  <c r="Q22" i="6" l="1"/>
  <c r="C23" i="3"/>
  <c r="Q23" i="6" s="1"/>
  <c r="R23" i="6" l="1"/>
  <c r="U23" i="6" s="1"/>
  <c r="V23" i="6" s="1"/>
  <c r="C24" i="3"/>
  <c r="R24" i="6" s="1"/>
  <c r="U24" i="6" s="1"/>
  <c r="V24" i="6" s="1"/>
  <c r="Q24" i="6" l="1"/>
  <c r="C25" i="3"/>
  <c r="Q25" i="6" s="1"/>
  <c r="R25" i="6" l="1"/>
  <c r="U25" i="6" s="1"/>
  <c r="V25" i="6" s="1"/>
  <c r="C26" i="3"/>
  <c r="R26" i="6" s="1"/>
  <c r="U26" i="6" s="1"/>
  <c r="V26" i="6" s="1"/>
  <c r="Q26" i="6" l="1"/>
  <c r="C27" i="3"/>
  <c r="Q27" i="6" s="1"/>
  <c r="R27" i="6" l="1"/>
  <c r="U27" i="6" s="1"/>
  <c r="V27" i="6" s="1"/>
  <c r="C28" i="3"/>
  <c r="Q28" i="6" s="1"/>
  <c r="R28" i="6" l="1"/>
  <c r="U28" i="6" s="1"/>
  <c r="V28" i="6" s="1"/>
  <c r="C29" i="3"/>
  <c r="R29" i="6" s="1"/>
  <c r="U29" i="6" s="1"/>
  <c r="V29" i="6" s="1"/>
  <c r="Q29" i="6" l="1"/>
  <c r="C30" i="3"/>
  <c r="R30" i="6" s="1"/>
  <c r="U30" i="6" s="1"/>
  <c r="V30" i="6" s="1"/>
  <c r="Q30" i="6" l="1"/>
  <c r="C31" i="3"/>
  <c r="Q31" i="6" s="1"/>
  <c r="R31" i="6"/>
  <c r="U31" i="6" s="1"/>
  <c r="V31" i="6" s="1"/>
  <c r="C32" i="3" l="1"/>
  <c r="R32" i="6" s="1"/>
  <c r="U32" i="6" s="1"/>
  <c r="V32" i="6" s="1"/>
  <c r="Q32" i="6" l="1"/>
  <c r="C33" i="3"/>
  <c r="R33" i="6" s="1"/>
  <c r="U33" i="6" s="1"/>
  <c r="V33" i="6" s="1"/>
  <c r="Q33" i="6" l="1"/>
  <c r="C34" i="3"/>
  <c r="R34" i="6" s="1"/>
  <c r="U34" i="6" s="1"/>
  <c r="V34" i="6" s="1"/>
  <c r="Q34" i="6" l="1"/>
  <c r="C35" i="3"/>
  <c r="R35" i="6" s="1"/>
  <c r="U35" i="6" s="1"/>
  <c r="V35" i="6" s="1"/>
  <c r="Q35" i="6" l="1"/>
  <c r="C36" i="3"/>
  <c r="Q36" i="6" s="1"/>
  <c r="R36" i="6" l="1"/>
  <c r="U36" i="6" s="1"/>
  <c r="V36" i="6" s="1"/>
  <c r="C37" i="3"/>
  <c r="R37" i="6" s="1"/>
  <c r="U37" i="6" s="1"/>
  <c r="V37" i="6" s="1"/>
  <c r="Q37" i="6" l="1"/>
  <c r="C38" i="3"/>
  <c r="R38" i="6" s="1"/>
  <c r="U38" i="6" s="1"/>
  <c r="V38" i="6" s="1"/>
  <c r="Q38" i="6" l="1"/>
  <c r="C39" i="3"/>
  <c r="R39" i="6" s="1"/>
  <c r="U39" i="6" s="1"/>
  <c r="V39" i="6" s="1"/>
  <c r="Q39" i="6" l="1"/>
  <c r="C40" i="3"/>
  <c r="R40" i="6" s="1"/>
  <c r="U40" i="6" s="1"/>
  <c r="V40" i="6" s="1"/>
  <c r="Q40" i="6"/>
  <c r="C41" i="3" l="1"/>
  <c r="R41" i="6" s="1"/>
  <c r="U41" i="6" s="1"/>
  <c r="V41" i="6" s="1"/>
  <c r="Q41" i="6" l="1"/>
  <c r="C42" i="3"/>
  <c r="R42" i="6" s="1"/>
  <c r="U42" i="6" s="1"/>
  <c r="V42" i="6" s="1"/>
  <c r="Q42" i="6" l="1"/>
  <c r="C43" i="3"/>
  <c r="R43" i="6" s="1"/>
  <c r="U43" i="6" s="1"/>
  <c r="V43" i="6" s="1"/>
  <c r="Q43" i="6" l="1"/>
  <c r="C44" i="3"/>
  <c r="R44" i="6" s="1"/>
  <c r="U44" i="6" s="1"/>
  <c r="V44" i="6" s="1"/>
  <c r="Q44" i="6" l="1"/>
  <c r="C45" i="3"/>
  <c r="R45" i="6" s="1"/>
  <c r="U45" i="6" s="1"/>
  <c r="V45" i="6" s="1"/>
  <c r="Q45" i="6" l="1"/>
  <c r="C46" i="3"/>
  <c r="R46" i="6" s="1"/>
  <c r="U46" i="6" s="1"/>
  <c r="V46" i="6" s="1"/>
  <c r="Q46" i="6" l="1"/>
  <c r="C47" i="3"/>
  <c r="R47" i="6" s="1"/>
  <c r="U47" i="6" s="1"/>
  <c r="V47" i="6" s="1"/>
  <c r="Q47" i="6" l="1"/>
  <c r="C48" i="3"/>
  <c r="R48" i="6" s="1"/>
  <c r="U48" i="6" s="1"/>
  <c r="V48" i="6" s="1"/>
  <c r="Q48" i="6" l="1"/>
  <c r="C49" i="3"/>
  <c r="R49" i="6" s="1"/>
  <c r="U49" i="6" s="1"/>
  <c r="V49" i="6" s="1"/>
  <c r="Q49" i="6" l="1"/>
  <c r="C50" i="3"/>
  <c r="R50" i="6" s="1"/>
  <c r="U50" i="6" s="1"/>
  <c r="V50" i="6" s="1"/>
  <c r="Q50" i="6" l="1"/>
  <c r="C51" i="3"/>
  <c r="Q51" i="6" s="1"/>
  <c r="R51" i="6" l="1"/>
  <c r="U51" i="6" s="1"/>
  <c r="V51" i="6" s="1"/>
  <c r="C52" i="3"/>
  <c r="R52" i="6" s="1"/>
  <c r="U52" i="6" s="1"/>
  <c r="V52" i="6" s="1"/>
  <c r="Q52" i="6" l="1"/>
  <c r="C53" i="3"/>
  <c r="R53" i="6" s="1"/>
  <c r="U53" i="6" s="1"/>
  <c r="V53" i="6" s="1"/>
  <c r="C54" i="3"/>
  <c r="Q53" i="6" l="1"/>
  <c r="R54" i="6"/>
  <c r="U54" i="6" s="1"/>
  <c r="V54" i="6" s="1"/>
  <c r="Q54" i="6"/>
  <c r="C55" i="3" l="1"/>
  <c r="Q55" i="6" s="1"/>
  <c r="C56" i="3" l="1"/>
  <c r="R55" i="6"/>
  <c r="U55" i="6" s="1"/>
  <c r="V55" i="6" s="1"/>
  <c r="R56" i="6"/>
  <c r="U56" i="6" s="1"/>
  <c r="V56" i="6" s="1"/>
  <c r="Q56" i="6"/>
  <c r="C57" i="3" l="1"/>
  <c r="R57" i="6" s="1"/>
  <c r="U57" i="6" s="1"/>
  <c r="V57" i="6" s="1"/>
  <c r="Q57" i="6" l="1"/>
  <c r="C58" i="3"/>
  <c r="R58" i="6" s="1"/>
  <c r="U58" i="6" s="1"/>
  <c r="V58" i="6" s="1"/>
  <c r="Q58" i="6" l="1"/>
  <c r="C59" i="3"/>
  <c r="R59" i="6" s="1"/>
  <c r="U59" i="6" s="1"/>
  <c r="V59" i="6" s="1"/>
  <c r="C60" i="3" l="1"/>
  <c r="R60" i="6" s="1"/>
  <c r="U60" i="6" s="1"/>
  <c r="V60" i="6" s="1"/>
  <c r="Q59" i="6"/>
  <c r="Q60" i="6" l="1"/>
  <c r="C61" i="3"/>
  <c r="R61" i="6" s="1"/>
  <c r="U61" i="6" s="1"/>
  <c r="V61" i="6" s="1"/>
  <c r="Q61" i="6" l="1"/>
  <c r="C62" i="3"/>
  <c r="R62" i="6" s="1"/>
  <c r="U62" i="6" s="1"/>
  <c r="V62" i="6" s="1"/>
  <c r="C63" i="3" l="1"/>
  <c r="Q63" i="6" s="1"/>
  <c r="Q62" i="6"/>
  <c r="R63" i="6"/>
  <c r="U63" i="6" s="1"/>
  <c r="V63" i="6" s="1"/>
  <c r="C64" i="3" l="1"/>
  <c r="R64" i="6" s="1"/>
  <c r="U64" i="6" s="1"/>
  <c r="V64" i="6" s="1"/>
  <c r="Q64" i="6" l="1"/>
  <c r="C65" i="3"/>
  <c r="R65" i="6" s="1"/>
  <c r="U65" i="6" s="1"/>
  <c r="V65" i="6" s="1"/>
  <c r="Q65" i="6" l="1"/>
  <c r="C66" i="3"/>
  <c r="R66" i="6" s="1"/>
  <c r="U66" i="6" s="1"/>
  <c r="V66" i="6" s="1"/>
  <c r="Q66" i="6" l="1"/>
  <c r="C67" i="3"/>
  <c r="R67" i="6" s="1"/>
  <c r="U67" i="6" s="1"/>
  <c r="V67" i="6" s="1"/>
  <c r="Q67" i="6" l="1"/>
  <c r="C68" i="3"/>
  <c r="R68" i="6" s="1"/>
  <c r="U68" i="6" s="1"/>
  <c r="V68" i="6" s="1"/>
  <c r="Q68" i="6" l="1"/>
  <c r="C69" i="3"/>
  <c r="R69" i="6" s="1"/>
  <c r="U69" i="6" s="1"/>
  <c r="V69" i="6" s="1"/>
  <c r="Q69" i="6" l="1"/>
  <c r="C70" i="3"/>
  <c r="Q70" i="6" s="1"/>
  <c r="R70" i="6" l="1"/>
  <c r="U70" i="6" s="1"/>
  <c r="V70" i="6" s="1"/>
  <c r="C71" i="3"/>
  <c r="R71" i="6" s="1"/>
  <c r="U71" i="6" s="1"/>
  <c r="V71" i="6" s="1"/>
  <c r="Q71" i="6" l="1"/>
  <c r="C72" i="3"/>
  <c r="R72" i="6" s="1"/>
  <c r="U72" i="6" s="1"/>
  <c r="V72" i="6" s="1"/>
  <c r="Q72" i="6" l="1"/>
  <c r="C73" i="3"/>
  <c r="R73" i="6" s="1"/>
  <c r="U73" i="6" s="1"/>
  <c r="V73" i="6" s="1"/>
  <c r="C74" i="3"/>
  <c r="Q73" i="6" l="1"/>
  <c r="R74" i="6"/>
  <c r="U74" i="6" s="1"/>
  <c r="V74" i="6" s="1"/>
  <c r="Q74" i="6"/>
  <c r="C75" i="3" l="1"/>
  <c r="R75" i="6" s="1"/>
  <c r="U75" i="6" s="1"/>
  <c r="V75" i="6" s="1"/>
  <c r="Q75" i="6"/>
  <c r="C76" i="3" l="1"/>
  <c r="Q76" i="6" s="1"/>
  <c r="R76" i="6"/>
  <c r="U76" i="6" s="1"/>
  <c r="V76" i="6" s="1"/>
  <c r="C78" i="3" l="1"/>
  <c r="R78" i="6" s="1"/>
  <c r="U78" i="6" s="1"/>
  <c r="V78" i="6" s="1"/>
  <c r="K34" i="3"/>
  <c r="C77" i="3"/>
  <c r="Q78" i="6" l="1"/>
  <c r="C79" i="3"/>
  <c r="R79" i="6" s="1"/>
  <c r="U79" i="6" s="1"/>
  <c r="V79" i="6" s="1"/>
  <c r="Q77" i="6"/>
  <c r="R77" i="6"/>
  <c r="U77" i="6" s="1"/>
  <c r="V77" i="6" s="1"/>
  <c r="Q79" i="6" l="1"/>
  <c r="C80" i="3"/>
  <c r="R80" i="6" s="1"/>
  <c r="U80" i="6" s="1"/>
  <c r="V80" i="6" s="1"/>
  <c r="Q80" i="6" l="1"/>
  <c r="C81" i="3"/>
  <c r="R81" i="6"/>
  <c r="U81" i="6" s="1"/>
  <c r="V81" i="6" s="1"/>
  <c r="Q81" i="6"/>
  <c r="C82" i="3" l="1"/>
  <c r="R82" i="6" s="1"/>
  <c r="U82" i="6" s="1"/>
  <c r="V82" i="6" s="1"/>
  <c r="Q82" i="6" l="1"/>
  <c r="C83" i="3"/>
  <c r="R83" i="6" s="1"/>
  <c r="U83" i="6" s="1"/>
  <c r="V83" i="6" s="1"/>
  <c r="Q83" i="6" l="1"/>
  <c r="C84" i="3"/>
  <c r="R84" i="6" s="1"/>
  <c r="U84" i="6" s="1"/>
  <c r="V84" i="6" s="1"/>
  <c r="Q84" i="6" l="1"/>
  <c r="C85" i="3"/>
  <c r="R85" i="6" s="1"/>
  <c r="U85" i="6" s="1"/>
  <c r="V85" i="6" s="1"/>
  <c r="Q85" i="6" l="1"/>
  <c r="C86" i="3"/>
  <c r="R86" i="6" s="1"/>
  <c r="U86" i="6" s="1"/>
  <c r="V86" i="6" s="1"/>
  <c r="Q86" i="6" l="1"/>
  <c r="C87" i="3"/>
  <c r="R87" i="6" s="1"/>
  <c r="U87" i="6" s="1"/>
  <c r="V87" i="6" s="1"/>
  <c r="Q87" i="6" l="1"/>
  <c r="C88" i="3"/>
  <c r="R88" i="6" s="1"/>
  <c r="U88" i="6" s="1"/>
  <c r="V88" i="6" s="1"/>
  <c r="Q88" i="6" l="1"/>
  <c r="C89" i="3"/>
  <c r="R89" i="6" s="1"/>
  <c r="U89" i="6" s="1"/>
  <c r="V89" i="6" s="1"/>
  <c r="C90" i="3" l="1"/>
  <c r="R90" i="6" s="1"/>
  <c r="U90" i="6" s="1"/>
  <c r="V90" i="6" s="1"/>
  <c r="Q89" i="6"/>
  <c r="Q90" i="6"/>
  <c r="C91" i="3" l="1"/>
  <c r="Q91" i="6" s="1"/>
  <c r="C92" i="3" l="1"/>
  <c r="R91" i="6"/>
  <c r="U91" i="6" s="1"/>
  <c r="V91" i="6" s="1"/>
  <c r="R92" i="6"/>
  <c r="U92" i="6" s="1"/>
  <c r="V92" i="6" s="1"/>
  <c r="Q92" i="6"/>
  <c r="C93" i="3" l="1"/>
  <c r="R93" i="6" s="1"/>
  <c r="U93" i="6" s="1"/>
  <c r="V93" i="6" s="1"/>
  <c r="Q93" i="6" l="1"/>
  <c r="C94" i="3"/>
  <c r="R94" i="6" s="1"/>
  <c r="U94" i="6" s="1"/>
  <c r="V94" i="6" s="1"/>
  <c r="Q94" i="6" l="1"/>
  <c r="C95" i="3"/>
  <c r="R95" i="6" s="1"/>
  <c r="U95" i="6" s="1"/>
  <c r="V95" i="6" s="1"/>
  <c r="Q95" i="6" l="1"/>
  <c r="C96" i="3"/>
  <c r="R96" i="6" s="1"/>
  <c r="U96" i="6" s="1"/>
  <c r="V96" i="6" s="1"/>
  <c r="C97" i="3"/>
  <c r="Q96" i="6" l="1"/>
  <c r="R97" i="6"/>
  <c r="U97" i="6" s="1"/>
  <c r="V97" i="6" s="1"/>
  <c r="Q97" i="6"/>
  <c r="C98" i="3" l="1"/>
  <c r="R98" i="6" s="1"/>
  <c r="U98" i="6" s="1"/>
  <c r="V98" i="6" s="1"/>
  <c r="C99" i="3" l="1"/>
  <c r="R99" i="6" s="1"/>
  <c r="U99" i="6" s="1"/>
  <c r="V99" i="6" s="1"/>
  <c r="Q98" i="6"/>
  <c r="Q99" i="6" l="1"/>
  <c r="C100" i="3"/>
  <c r="R100" i="6" s="1"/>
  <c r="U100" i="6" s="1"/>
  <c r="V100" i="6" s="1"/>
  <c r="Q100" i="6" l="1"/>
  <c r="C101" i="3"/>
  <c r="Q101" i="6" s="1"/>
  <c r="R101" i="6" l="1"/>
  <c r="U101" i="6" s="1"/>
  <c r="V101" i="6" s="1"/>
  <c r="C102" i="3"/>
  <c r="R102" i="6" s="1"/>
  <c r="U102" i="6" s="1"/>
  <c r="V102" i="6" s="1"/>
  <c r="Q102" i="6" l="1"/>
  <c r="C103" i="3"/>
  <c r="R103" i="6" s="1"/>
  <c r="U103" i="6" s="1"/>
  <c r="V103" i="6" s="1"/>
  <c r="Q103" i="6" l="1"/>
  <c r="C104" i="3"/>
  <c r="R104" i="6" s="1"/>
  <c r="U104" i="6" s="1"/>
  <c r="V104" i="6" s="1"/>
  <c r="C105" i="3"/>
  <c r="Q104" i="6" l="1"/>
  <c r="R105" i="6"/>
  <c r="U105" i="6" s="1"/>
  <c r="V105" i="6" s="1"/>
  <c r="Q105" i="6"/>
  <c r="C106" i="3" l="1"/>
  <c r="Q106" i="6" s="1"/>
  <c r="C107" i="3" l="1"/>
  <c r="R107" i="6" s="1"/>
  <c r="U107" i="6" s="1"/>
  <c r="V107" i="6" s="1"/>
  <c r="R106" i="6"/>
  <c r="U106" i="6" s="1"/>
  <c r="V106" i="6" s="1"/>
  <c r="Q107" i="6" l="1"/>
  <c r="C108" i="3"/>
  <c r="R108" i="6" s="1"/>
  <c r="U108" i="6" s="1"/>
  <c r="V108" i="6" s="1"/>
  <c r="Q108" i="6" l="1"/>
  <c r="C109" i="3"/>
  <c r="R109" i="6" s="1"/>
  <c r="U109" i="6" s="1"/>
  <c r="V109" i="6" s="1"/>
  <c r="Q109" i="6" l="1"/>
  <c r="C110" i="3"/>
  <c r="R110" i="6" s="1"/>
  <c r="U110" i="6" s="1"/>
  <c r="V110" i="6" s="1"/>
  <c r="Q110" i="6" l="1"/>
  <c r="C111" i="3"/>
  <c r="R111" i="6" s="1"/>
  <c r="U111" i="6" s="1"/>
  <c r="V111" i="6" s="1"/>
  <c r="Q111" i="6" l="1"/>
  <c r="C112" i="3"/>
  <c r="R112" i="6" s="1"/>
  <c r="U112" i="6" s="1"/>
  <c r="V112" i="6" s="1"/>
  <c r="Q112" i="6"/>
  <c r="C113" i="3" l="1"/>
  <c r="R113" i="6" s="1"/>
  <c r="U113" i="6" s="1"/>
  <c r="V113" i="6" s="1"/>
  <c r="Q113" i="6" l="1"/>
  <c r="C114" i="3"/>
  <c r="R114" i="6" s="1"/>
  <c r="U114" i="6" s="1"/>
  <c r="V114" i="6" s="1"/>
  <c r="Q114" i="6" l="1"/>
  <c r="C115" i="3"/>
  <c r="R115" i="6" s="1"/>
  <c r="U115" i="6" s="1"/>
  <c r="V115" i="6" s="1"/>
  <c r="Q115" i="6" l="1"/>
  <c r="C116" i="3"/>
  <c r="Q116" i="6" s="1"/>
  <c r="C117" i="3"/>
  <c r="R116" i="6" l="1"/>
  <c r="U116" i="6" s="1"/>
  <c r="V116" i="6" s="1"/>
  <c r="Q117" i="6"/>
  <c r="R117" i="6"/>
  <c r="U117" i="6" s="1"/>
  <c r="V117" i="6" s="1"/>
  <c r="C118" i="3" l="1"/>
  <c r="Q118" i="6" s="1"/>
  <c r="R118" i="6" l="1"/>
  <c r="U118" i="6" s="1"/>
  <c r="V118" i="6" s="1"/>
  <c r="C119" i="3"/>
  <c r="Q119" i="6" s="1"/>
  <c r="R119" i="6" l="1"/>
  <c r="U119" i="6" s="1"/>
  <c r="V119" i="6" s="1"/>
  <c r="C120" i="3"/>
  <c r="Q120" i="6" s="1"/>
  <c r="C121" i="3"/>
  <c r="R120" i="6" l="1"/>
  <c r="U120" i="6" s="1"/>
  <c r="V120" i="6" s="1"/>
  <c r="Q121" i="6"/>
  <c r="R121" i="6"/>
  <c r="U121" i="6" s="1"/>
  <c r="V121" i="6" s="1"/>
  <c r="C122" i="3" l="1"/>
  <c r="Q122" i="6" s="1"/>
  <c r="R122" i="6" l="1"/>
  <c r="U122" i="6" s="1"/>
  <c r="V122" i="6" s="1"/>
  <c r="C123" i="3"/>
  <c r="Q123" i="6" s="1"/>
  <c r="R123" i="6" l="1"/>
  <c r="U123" i="6" s="1"/>
  <c r="V123" i="6" s="1"/>
  <c r="C124" i="3"/>
  <c r="Q124" i="6" s="1"/>
  <c r="R124" i="6" l="1"/>
  <c r="U124" i="6" s="1"/>
  <c r="V124" i="6" s="1"/>
  <c r="C125" i="3"/>
  <c r="Q125" i="6" s="1"/>
  <c r="R125" i="6" l="1"/>
  <c r="U125" i="6" s="1"/>
  <c r="V125" i="6" s="1"/>
  <c r="C126" i="3"/>
  <c r="Q126" i="6" s="1"/>
  <c r="R126" i="6" l="1"/>
  <c r="U126" i="6" s="1"/>
  <c r="V126" i="6" s="1"/>
  <c r="C127" i="3"/>
  <c r="R127" i="6" s="1"/>
  <c r="U127" i="6" s="1"/>
  <c r="V127" i="6" s="1"/>
  <c r="Q127" i="6" l="1"/>
  <c r="C128" i="3"/>
  <c r="Q128" i="6" s="1"/>
  <c r="R128" i="6" l="1"/>
  <c r="U128" i="6" s="1"/>
  <c r="V128" i="6" s="1"/>
  <c r="C129" i="3"/>
  <c r="Q129" i="6" s="1"/>
  <c r="R129" i="6" l="1"/>
  <c r="U129" i="6" s="1"/>
  <c r="V129" i="6" s="1"/>
  <c r="C130" i="3"/>
  <c r="Q130" i="6" s="1"/>
  <c r="R130" i="6" l="1"/>
  <c r="U130" i="6" s="1"/>
  <c r="V130" i="6" s="1"/>
  <c r="C131" i="3"/>
  <c r="Q131" i="6" s="1"/>
  <c r="R131" i="6" l="1"/>
  <c r="U131" i="6" s="1"/>
  <c r="V131" i="6" s="1"/>
  <c r="C132" i="3"/>
  <c r="Q132" i="6" s="1"/>
  <c r="R132" i="6" l="1"/>
  <c r="U132" i="6" s="1"/>
  <c r="V132" i="6" s="1"/>
  <c r="C133" i="3"/>
  <c r="Q133" i="6" s="1"/>
  <c r="R133" i="6" l="1"/>
  <c r="U133" i="6" s="1"/>
  <c r="V133" i="6" s="1"/>
  <c r="C134" i="3"/>
  <c r="R134" i="6" s="1"/>
  <c r="U134" i="6" s="1"/>
  <c r="V134" i="6" s="1"/>
  <c r="Q134" i="6"/>
  <c r="C135" i="3" l="1"/>
  <c r="Q135" i="6"/>
  <c r="R135" i="6"/>
  <c r="U135" i="6" s="1"/>
  <c r="V135" i="6" s="1"/>
  <c r="D136" i="3" l="1"/>
  <c r="D18" i="3"/>
  <c r="D20" i="3"/>
  <c r="D22" i="3"/>
  <c r="D24" i="3"/>
  <c r="D26" i="3"/>
  <c r="D28" i="3"/>
  <c r="D30" i="3"/>
  <c r="D32" i="3"/>
  <c r="D34" i="3"/>
  <c r="D36" i="3"/>
  <c r="D38" i="3"/>
  <c r="D40" i="3"/>
  <c r="D42" i="3"/>
  <c r="D44" i="3"/>
  <c r="D46" i="3"/>
  <c r="D48" i="3"/>
  <c r="D50" i="3"/>
  <c r="D52" i="3"/>
  <c r="D54" i="3"/>
  <c r="D56" i="3"/>
  <c r="D58" i="3"/>
  <c r="D60" i="3"/>
  <c r="D62" i="3"/>
  <c r="D64" i="3"/>
  <c r="D66" i="3"/>
  <c r="D68" i="3"/>
  <c r="D70" i="3"/>
  <c r="D72" i="3"/>
  <c r="D74" i="3"/>
  <c r="D76" i="3"/>
  <c r="D78" i="3"/>
  <c r="D80" i="3"/>
  <c r="D82" i="3"/>
  <c r="D84" i="3"/>
  <c r="D86" i="3"/>
  <c r="D88" i="3"/>
  <c r="D90" i="3"/>
  <c r="D92" i="3"/>
  <c r="D94" i="3"/>
  <c r="D96" i="3"/>
  <c r="D98" i="3"/>
  <c r="D100" i="3"/>
  <c r="D102" i="3"/>
  <c r="D104" i="3"/>
  <c r="D106" i="3"/>
  <c r="D108" i="3"/>
  <c r="D110" i="3"/>
  <c r="D112" i="3"/>
  <c r="D114" i="3"/>
  <c r="D116" i="3"/>
  <c r="D118" i="3"/>
  <c r="D120" i="3"/>
  <c r="D122" i="3"/>
  <c r="D124" i="3"/>
  <c r="D126" i="3"/>
  <c r="D128" i="3"/>
  <c r="D130" i="3"/>
  <c r="D132" i="3"/>
  <c r="D134" i="3"/>
  <c r="C136" i="3"/>
  <c r="D19" i="3"/>
  <c r="D21" i="3"/>
  <c r="D23" i="3"/>
  <c r="D25" i="3"/>
  <c r="D27" i="3"/>
  <c r="D29" i="3"/>
  <c r="D31" i="3"/>
  <c r="D33" i="3"/>
  <c r="D35" i="3"/>
  <c r="D37" i="3"/>
  <c r="D39" i="3"/>
  <c r="D41" i="3"/>
  <c r="D43" i="3"/>
  <c r="D45" i="3"/>
  <c r="D47" i="3"/>
  <c r="D49" i="3"/>
  <c r="D51" i="3"/>
  <c r="D53" i="3"/>
  <c r="D55" i="3"/>
  <c r="D57" i="3"/>
  <c r="D59" i="3"/>
  <c r="D61" i="3"/>
  <c r="D63" i="3"/>
  <c r="D65" i="3"/>
  <c r="D67" i="3"/>
  <c r="D69" i="3"/>
  <c r="D71" i="3"/>
  <c r="D73" i="3"/>
  <c r="D75" i="3"/>
  <c r="D77" i="3"/>
  <c r="D79" i="3"/>
  <c r="D81" i="3"/>
  <c r="D83" i="3"/>
  <c r="D85" i="3"/>
  <c r="D87" i="3"/>
  <c r="D89" i="3"/>
  <c r="D91" i="3"/>
  <c r="D93" i="3"/>
  <c r="D95" i="3"/>
  <c r="D97" i="3"/>
  <c r="D99" i="3"/>
  <c r="D101" i="3"/>
  <c r="D103" i="3"/>
  <c r="D105" i="3"/>
  <c r="D107" i="3"/>
  <c r="D109" i="3"/>
  <c r="D111" i="3"/>
  <c r="D113" i="3"/>
  <c r="D115" i="3"/>
  <c r="D117" i="3"/>
  <c r="D119" i="3"/>
  <c r="D121" i="3"/>
  <c r="D123" i="3"/>
  <c r="D125" i="3"/>
  <c r="D127" i="3"/>
  <c r="D129" i="3"/>
  <c r="D131" i="3"/>
  <c r="D133" i="3"/>
  <c r="D135" i="3"/>
  <c r="G136" i="6" l="1"/>
  <c r="H30" i="3"/>
  <c r="G19" i="6"/>
  <c r="G21" i="6"/>
  <c r="G23" i="6"/>
  <c r="G25" i="6"/>
  <c r="G27" i="6"/>
  <c r="G29" i="6"/>
  <c r="G31" i="6"/>
  <c r="G33" i="6"/>
  <c r="G35" i="6"/>
  <c r="G37" i="6"/>
  <c r="G39" i="6"/>
  <c r="G41" i="6"/>
  <c r="G43" i="6"/>
  <c r="G45" i="6"/>
  <c r="G47" i="6"/>
  <c r="G49" i="6"/>
  <c r="G51" i="6"/>
  <c r="G53" i="6"/>
  <c r="Q136" i="6"/>
  <c r="G18" i="6"/>
  <c r="H18" i="6" s="1"/>
  <c r="G22" i="6"/>
  <c r="G26" i="6"/>
  <c r="H26" i="6" s="1"/>
  <c r="G30" i="6"/>
  <c r="G34" i="6"/>
  <c r="H34" i="6" s="1"/>
  <c r="G38" i="6"/>
  <c r="G42" i="6"/>
  <c r="H42" i="6" s="1"/>
  <c r="G46" i="6"/>
  <c r="G50" i="6"/>
  <c r="H50" i="6" s="1"/>
  <c r="G54" i="6"/>
  <c r="G56" i="6"/>
  <c r="G58" i="6"/>
  <c r="G60" i="6"/>
  <c r="G62" i="6"/>
  <c r="G64" i="6"/>
  <c r="G66" i="6"/>
  <c r="G68" i="6"/>
  <c r="G70" i="6"/>
  <c r="G72" i="6"/>
  <c r="G74" i="6"/>
  <c r="G76" i="6"/>
  <c r="G78" i="6"/>
  <c r="G80" i="6"/>
  <c r="G82" i="6"/>
  <c r="G84" i="6"/>
  <c r="G86" i="6"/>
  <c r="G88" i="6"/>
  <c r="G90" i="6"/>
  <c r="G92" i="6"/>
  <c r="G94" i="6"/>
  <c r="G96" i="6"/>
  <c r="G98" i="6"/>
  <c r="G100" i="6"/>
  <c r="G102" i="6"/>
  <c r="G104" i="6"/>
  <c r="G106" i="6"/>
  <c r="G108" i="6"/>
  <c r="G110" i="6"/>
  <c r="G112" i="6"/>
  <c r="G114" i="6"/>
  <c r="G116" i="6"/>
  <c r="G118" i="6"/>
  <c r="G120" i="6"/>
  <c r="G122" i="6"/>
  <c r="G124" i="6"/>
  <c r="G126" i="6"/>
  <c r="G128" i="6"/>
  <c r="G130" i="6"/>
  <c r="G132" i="6"/>
  <c r="G134" i="6"/>
  <c r="G135" i="6"/>
  <c r="R136" i="6"/>
  <c r="U136" i="6" s="1"/>
  <c r="V136" i="6" s="1"/>
  <c r="P9" i="6" s="1"/>
  <c r="G20" i="6"/>
  <c r="G24" i="6"/>
  <c r="G28" i="6"/>
  <c r="G32" i="6"/>
  <c r="H32" i="6" s="1"/>
  <c r="G36" i="6"/>
  <c r="G40" i="6"/>
  <c r="G44" i="6"/>
  <c r="G48" i="6"/>
  <c r="H48" i="6" s="1"/>
  <c r="G52" i="6"/>
  <c r="G55" i="6"/>
  <c r="H55" i="6" s="1"/>
  <c r="G57" i="6"/>
  <c r="H57" i="6" s="1"/>
  <c r="G59" i="6"/>
  <c r="H59" i="6" s="1"/>
  <c r="G61" i="6"/>
  <c r="H61" i="6" s="1"/>
  <c r="G63" i="6"/>
  <c r="H63" i="6" s="1"/>
  <c r="G65" i="6"/>
  <c r="H65" i="6" s="1"/>
  <c r="G67" i="6"/>
  <c r="H67" i="6" s="1"/>
  <c r="G69" i="6"/>
  <c r="H69" i="6" s="1"/>
  <c r="G71" i="6"/>
  <c r="H71" i="6" s="1"/>
  <c r="G73" i="6"/>
  <c r="H73" i="6" s="1"/>
  <c r="G75" i="6"/>
  <c r="H75" i="6" s="1"/>
  <c r="G77" i="6"/>
  <c r="H77" i="6" s="1"/>
  <c r="G79" i="6"/>
  <c r="H79" i="6" s="1"/>
  <c r="G81" i="6"/>
  <c r="H81" i="6" s="1"/>
  <c r="G83" i="6"/>
  <c r="H83" i="6" s="1"/>
  <c r="G85" i="6"/>
  <c r="H85" i="6" s="1"/>
  <c r="G87" i="6"/>
  <c r="H87" i="6" s="1"/>
  <c r="G89" i="6"/>
  <c r="H89" i="6" s="1"/>
  <c r="G91" i="6"/>
  <c r="H91" i="6" s="1"/>
  <c r="G93" i="6"/>
  <c r="H93" i="6" s="1"/>
  <c r="G95" i="6"/>
  <c r="H95" i="6" s="1"/>
  <c r="G97" i="6"/>
  <c r="H97" i="6" s="1"/>
  <c r="G99" i="6"/>
  <c r="H99" i="6" s="1"/>
  <c r="G101" i="6"/>
  <c r="H101" i="6" s="1"/>
  <c r="G103" i="6"/>
  <c r="H103" i="6" s="1"/>
  <c r="G105" i="6"/>
  <c r="H105" i="6" s="1"/>
  <c r="G107" i="6"/>
  <c r="H107" i="6" s="1"/>
  <c r="G109" i="6"/>
  <c r="H109" i="6" s="1"/>
  <c r="G111" i="6"/>
  <c r="H111" i="6" s="1"/>
  <c r="G113" i="6"/>
  <c r="H113" i="6" s="1"/>
  <c r="G115" i="6"/>
  <c r="H115" i="6" s="1"/>
  <c r="G117" i="6"/>
  <c r="H117" i="6" s="1"/>
  <c r="G119" i="6"/>
  <c r="H119" i="6" s="1"/>
  <c r="G121" i="6"/>
  <c r="H121" i="6" s="1"/>
  <c r="G123" i="6"/>
  <c r="H123" i="6" s="1"/>
  <c r="G125" i="6"/>
  <c r="H125" i="6" s="1"/>
  <c r="G127" i="6"/>
  <c r="H127" i="6" s="1"/>
  <c r="G129" i="6"/>
  <c r="H129" i="6" s="1"/>
  <c r="G131" i="6"/>
  <c r="H131" i="6" s="1"/>
  <c r="G133" i="6"/>
  <c r="H133" i="6" s="1"/>
  <c r="H40" i="6" l="1"/>
  <c r="H24" i="6"/>
  <c r="H46" i="6"/>
  <c r="H30" i="6"/>
  <c r="H38" i="6"/>
  <c r="H22" i="6"/>
  <c r="H52" i="6"/>
  <c r="H44" i="6"/>
  <c r="H36" i="6"/>
  <c r="H28" i="6"/>
  <c r="H20" i="6"/>
  <c r="H135" i="6"/>
  <c r="H54" i="6"/>
  <c r="O4" i="5"/>
  <c r="M9" i="3"/>
  <c r="O4" i="4"/>
  <c r="H134" i="6"/>
  <c r="H130" i="6"/>
  <c r="H126" i="6"/>
  <c r="H122" i="6"/>
  <c r="H118" i="6"/>
  <c r="H114" i="6"/>
  <c r="H110" i="6"/>
  <c r="H106" i="6"/>
  <c r="H102" i="6"/>
  <c r="H98" i="6"/>
  <c r="H94" i="6"/>
  <c r="H90" i="6"/>
  <c r="H86" i="6"/>
  <c r="H82" i="6"/>
  <c r="H78" i="6"/>
  <c r="H74" i="6"/>
  <c r="H70" i="6"/>
  <c r="H66" i="6"/>
  <c r="H62" i="6"/>
  <c r="H58" i="6"/>
  <c r="H51" i="6"/>
  <c r="H47" i="6"/>
  <c r="H43" i="6"/>
  <c r="H39" i="6"/>
  <c r="H35" i="6"/>
  <c r="H31" i="6"/>
  <c r="H27" i="6"/>
  <c r="H23" i="6"/>
  <c r="H19" i="6"/>
  <c r="H136" i="6"/>
  <c r="D19" i="6"/>
  <c r="C19" i="6"/>
  <c r="C27" i="6"/>
  <c r="D27" i="6"/>
  <c r="C31" i="6"/>
  <c r="D31" i="6"/>
  <c r="C35" i="6"/>
  <c r="D35" i="6"/>
  <c r="AO24" i="6"/>
  <c r="D39" i="6"/>
  <c r="C39" i="6"/>
  <c r="C50" i="6"/>
  <c r="D50" i="6"/>
  <c r="C52" i="6"/>
  <c r="D52" i="6"/>
  <c r="C68" i="6"/>
  <c r="D68" i="6"/>
  <c r="AO19" i="6"/>
  <c r="D70" i="6"/>
  <c r="C70" i="6"/>
  <c r="D72" i="6"/>
  <c r="C72" i="6"/>
  <c r="C74" i="6"/>
  <c r="D74" i="6"/>
  <c r="C76" i="6"/>
  <c r="D76" i="6"/>
  <c r="D128" i="6"/>
  <c r="C128" i="6"/>
  <c r="D130" i="6"/>
  <c r="C130" i="6"/>
  <c r="D132" i="6"/>
  <c r="C132" i="6"/>
  <c r="D136" i="6"/>
  <c r="C136" i="6"/>
  <c r="D18" i="6"/>
  <c r="C18" i="6"/>
  <c r="AO27" i="6"/>
  <c r="AP27" i="6" s="1"/>
  <c r="D22" i="6"/>
  <c r="AO26" i="6"/>
  <c r="C22" i="6"/>
  <c r="D26" i="6"/>
  <c r="C26" i="6"/>
  <c r="C30" i="6"/>
  <c r="D30" i="6"/>
  <c r="C34" i="6"/>
  <c r="D34" i="6"/>
  <c r="C38" i="6"/>
  <c r="D38" i="6"/>
  <c r="D41" i="6"/>
  <c r="C41" i="6"/>
  <c r="C43" i="6"/>
  <c r="D43" i="6"/>
  <c r="C45" i="6"/>
  <c r="D45" i="6"/>
  <c r="AO22" i="6"/>
  <c r="D47" i="6"/>
  <c r="C47" i="6"/>
  <c r="D49" i="6"/>
  <c r="C49" i="6"/>
  <c r="D53" i="6"/>
  <c r="C53" i="6"/>
  <c r="D55" i="6"/>
  <c r="AO21" i="6"/>
  <c r="AP21" i="6" s="1"/>
  <c r="C55" i="6"/>
  <c r="C57" i="6"/>
  <c r="D57" i="6"/>
  <c r="C59" i="6"/>
  <c r="D59" i="6"/>
  <c r="C63" i="6"/>
  <c r="D63" i="6"/>
  <c r="D23" i="6"/>
  <c r="C23" i="6"/>
  <c r="D21" i="6"/>
  <c r="C21" i="6"/>
  <c r="C25" i="6"/>
  <c r="D25" i="6"/>
  <c r="D29" i="6"/>
  <c r="AO25" i="6"/>
  <c r="C29" i="6"/>
  <c r="C33" i="6"/>
  <c r="D33" i="6"/>
  <c r="C37" i="6"/>
  <c r="D37" i="6"/>
  <c r="C51" i="6"/>
  <c r="D51" i="6"/>
  <c r="C61" i="6"/>
  <c r="D61" i="6"/>
  <c r="C67" i="6"/>
  <c r="D67" i="6"/>
  <c r="D69" i="6"/>
  <c r="C69" i="6"/>
  <c r="D71" i="6"/>
  <c r="C71" i="6"/>
  <c r="D73" i="6"/>
  <c r="C73" i="6"/>
  <c r="AO18" i="6"/>
  <c r="C75" i="6"/>
  <c r="D75" i="6"/>
  <c r="C77" i="6"/>
  <c r="D77" i="6"/>
  <c r="C79" i="6"/>
  <c r="D79" i="6"/>
  <c r="D119" i="6"/>
  <c r="C119" i="6"/>
  <c r="D129" i="6"/>
  <c r="C129" i="6"/>
  <c r="D131" i="6"/>
  <c r="C131" i="6"/>
  <c r="AO9" i="6"/>
  <c r="D133" i="6"/>
  <c r="C133" i="6"/>
  <c r="C135" i="6"/>
  <c r="D135" i="6"/>
  <c r="AO8" i="6"/>
  <c r="C20" i="6"/>
  <c r="D20" i="6"/>
  <c r="D24" i="6"/>
  <c r="C24" i="6"/>
  <c r="D28" i="6"/>
  <c r="C28" i="6"/>
  <c r="C32" i="6"/>
  <c r="D32" i="6"/>
  <c r="C36" i="6"/>
  <c r="D36" i="6"/>
  <c r="D40" i="6"/>
  <c r="C40" i="6"/>
  <c r="D42" i="6"/>
  <c r="AO23" i="6"/>
  <c r="AP23" i="6" s="1"/>
  <c r="C42" i="6"/>
  <c r="C44" i="6"/>
  <c r="D44" i="6"/>
  <c r="C46" i="6"/>
  <c r="D46" i="6"/>
  <c r="D48" i="6"/>
  <c r="C48" i="6"/>
  <c r="D54" i="6"/>
  <c r="C54" i="6"/>
  <c r="C56" i="6"/>
  <c r="D56" i="6"/>
  <c r="C58" i="6"/>
  <c r="D58" i="6"/>
  <c r="C60" i="6"/>
  <c r="D60" i="6"/>
  <c r="C62" i="6"/>
  <c r="D62" i="6"/>
  <c r="AO20" i="6"/>
  <c r="AP20" i="6" s="1"/>
  <c r="D64" i="6"/>
  <c r="C64" i="6"/>
  <c r="C66" i="6"/>
  <c r="D66" i="6"/>
  <c r="C78" i="6"/>
  <c r="D78" i="6"/>
  <c r="C80" i="6"/>
  <c r="D80" i="6"/>
  <c r="D82" i="6"/>
  <c r="C82" i="6"/>
  <c r="D84" i="6"/>
  <c r="C84" i="6"/>
  <c r="D86" i="6"/>
  <c r="C86" i="6"/>
  <c r="D88" i="6"/>
  <c r="C88" i="6"/>
  <c r="D90" i="6"/>
  <c r="C90" i="6"/>
  <c r="C92" i="6"/>
  <c r="D92" i="6"/>
  <c r="C94" i="6"/>
  <c r="D94" i="6"/>
  <c r="D97" i="6"/>
  <c r="C97" i="6"/>
  <c r="C102" i="6"/>
  <c r="D102" i="6"/>
  <c r="D110" i="6"/>
  <c r="C110" i="6"/>
  <c r="D116" i="6"/>
  <c r="C116" i="6"/>
  <c r="C125" i="6"/>
  <c r="AO10" i="6"/>
  <c r="D125" i="6"/>
  <c r="H132" i="6"/>
  <c r="H128" i="6"/>
  <c r="H124" i="6"/>
  <c r="H120" i="6"/>
  <c r="H116" i="6"/>
  <c r="H112" i="6"/>
  <c r="H108" i="6"/>
  <c r="H104" i="6"/>
  <c r="H100" i="6"/>
  <c r="H96" i="6"/>
  <c r="H92" i="6"/>
  <c r="H88" i="6"/>
  <c r="H84" i="6"/>
  <c r="H80" i="6"/>
  <c r="H76" i="6"/>
  <c r="H72" i="6"/>
  <c r="H68" i="6"/>
  <c r="H64" i="6"/>
  <c r="H60" i="6"/>
  <c r="H56" i="6"/>
  <c r="H53" i="6"/>
  <c r="H49" i="6"/>
  <c r="H45" i="6"/>
  <c r="H41" i="6"/>
  <c r="H37" i="6"/>
  <c r="H33" i="6"/>
  <c r="H29" i="6"/>
  <c r="H25" i="6"/>
  <c r="H21" i="6"/>
  <c r="E136" i="3"/>
  <c r="J30" i="3"/>
  <c r="L30" i="3" s="1"/>
  <c r="M11" i="3" s="1"/>
  <c r="P11" i="6" s="1"/>
  <c r="E19" i="3"/>
  <c r="E21" i="3"/>
  <c r="E23" i="3"/>
  <c r="E25" i="3"/>
  <c r="E27" i="3"/>
  <c r="E29" i="3"/>
  <c r="K30" i="3"/>
  <c r="M10" i="3" s="1"/>
  <c r="P10" i="6" s="1"/>
  <c r="E20" i="3"/>
  <c r="E24" i="3"/>
  <c r="E28" i="3"/>
  <c r="E31" i="3"/>
  <c r="E33" i="3"/>
  <c r="E35" i="3"/>
  <c r="E37" i="3"/>
  <c r="E39" i="3"/>
  <c r="E41" i="3"/>
  <c r="E43" i="3"/>
  <c r="E45" i="3"/>
  <c r="E47" i="3"/>
  <c r="E49" i="3"/>
  <c r="E51" i="3"/>
  <c r="E53" i="3"/>
  <c r="E55" i="3"/>
  <c r="E57" i="3"/>
  <c r="E59" i="3"/>
  <c r="E61" i="3"/>
  <c r="E63" i="3"/>
  <c r="E65" i="3"/>
  <c r="E67" i="3"/>
  <c r="E69" i="3"/>
  <c r="E71" i="3"/>
  <c r="E73" i="3"/>
  <c r="E75" i="3"/>
  <c r="E77" i="3"/>
  <c r="E79" i="3"/>
  <c r="E81" i="3"/>
  <c r="E83" i="3"/>
  <c r="E85" i="3"/>
  <c r="E87" i="3"/>
  <c r="E89" i="3"/>
  <c r="E91" i="3"/>
  <c r="E93" i="3"/>
  <c r="E95" i="3"/>
  <c r="E97" i="3"/>
  <c r="E99" i="3"/>
  <c r="E101" i="3"/>
  <c r="E103" i="3"/>
  <c r="E105" i="3"/>
  <c r="E107" i="3"/>
  <c r="E109" i="3"/>
  <c r="E111" i="3"/>
  <c r="E113" i="3"/>
  <c r="E115" i="3"/>
  <c r="E117" i="3"/>
  <c r="E119" i="3"/>
  <c r="E121" i="3"/>
  <c r="E123" i="3"/>
  <c r="E125" i="3"/>
  <c r="E127" i="3"/>
  <c r="E129" i="3"/>
  <c r="E131" i="3"/>
  <c r="E133" i="3"/>
  <c r="E135" i="3"/>
  <c r="E130" i="3"/>
  <c r="F130" i="3" s="1"/>
  <c r="J130" i="6" s="1"/>
  <c r="E18" i="3"/>
  <c r="F18" i="3" s="1"/>
  <c r="J18" i="6" s="1"/>
  <c r="E22" i="3"/>
  <c r="F22" i="3" s="1"/>
  <c r="J22" i="6" s="1"/>
  <c r="E26" i="3"/>
  <c r="E30" i="3"/>
  <c r="E32" i="3"/>
  <c r="E34" i="3"/>
  <c r="E36" i="3"/>
  <c r="E38" i="3"/>
  <c r="E40" i="3"/>
  <c r="E42" i="3"/>
  <c r="E44" i="3"/>
  <c r="E46" i="3"/>
  <c r="E48" i="3"/>
  <c r="E50" i="3"/>
  <c r="E52" i="3"/>
  <c r="E54" i="3"/>
  <c r="E56" i="3"/>
  <c r="E58" i="3"/>
  <c r="E60" i="3"/>
  <c r="E62" i="3"/>
  <c r="E64" i="3"/>
  <c r="E66" i="3"/>
  <c r="E68" i="3"/>
  <c r="E70" i="3"/>
  <c r="E72" i="3"/>
  <c r="E74" i="3"/>
  <c r="E76" i="3"/>
  <c r="E78" i="3"/>
  <c r="E80" i="3"/>
  <c r="E82" i="3"/>
  <c r="E84" i="3"/>
  <c r="E86" i="3"/>
  <c r="E88" i="3"/>
  <c r="E90" i="3"/>
  <c r="E92" i="3"/>
  <c r="E94" i="3"/>
  <c r="E96" i="3"/>
  <c r="E98" i="3"/>
  <c r="E100" i="3"/>
  <c r="E102" i="3"/>
  <c r="E104" i="3"/>
  <c r="E106" i="3"/>
  <c r="E108" i="3"/>
  <c r="E110" i="3"/>
  <c r="E112" i="3"/>
  <c r="E114" i="3"/>
  <c r="E116" i="3"/>
  <c r="E118" i="3"/>
  <c r="E120" i="3"/>
  <c r="E122" i="3"/>
  <c r="E124" i="3"/>
  <c r="E126" i="3"/>
  <c r="E128" i="3"/>
  <c r="E132" i="3"/>
  <c r="E134" i="3"/>
  <c r="D98" i="6"/>
  <c r="C98" i="6"/>
  <c r="C101" i="6"/>
  <c r="D101" i="6"/>
  <c r="C104" i="6"/>
  <c r="D104" i="6"/>
  <c r="C107" i="6"/>
  <c r="D107" i="6"/>
  <c r="AO13" i="6"/>
  <c r="D109" i="6"/>
  <c r="C109" i="6"/>
  <c r="D113" i="6"/>
  <c r="C113" i="6"/>
  <c r="D115" i="6"/>
  <c r="C115" i="6"/>
  <c r="D118" i="6"/>
  <c r="C118" i="6"/>
  <c r="C121" i="6"/>
  <c r="D121" i="6"/>
  <c r="C123" i="6"/>
  <c r="D123" i="6"/>
  <c r="D126" i="6"/>
  <c r="C126" i="6"/>
  <c r="D134" i="6"/>
  <c r="C134" i="6"/>
  <c r="C65" i="6"/>
  <c r="D65" i="6"/>
  <c r="C81" i="6"/>
  <c r="D81" i="6"/>
  <c r="AO17" i="6"/>
  <c r="D83" i="6"/>
  <c r="C83" i="6"/>
  <c r="D85" i="6"/>
  <c r="C85" i="6"/>
  <c r="D87" i="6"/>
  <c r="C87" i="6"/>
  <c r="D89" i="6"/>
  <c r="C89" i="6"/>
  <c r="D91" i="6"/>
  <c r="AO16" i="6"/>
  <c r="C91" i="6"/>
  <c r="C93" i="6"/>
  <c r="D93" i="6"/>
  <c r="D96" i="6"/>
  <c r="C96" i="6"/>
  <c r="C100" i="6"/>
  <c r="D100" i="6"/>
  <c r="C106" i="6"/>
  <c r="D106" i="6"/>
  <c r="D112" i="6"/>
  <c r="C112" i="6"/>
  <c r="D120" i="6"/>
  <c r="C120" i="6"/>
  <c r="AO11" i="6"/>
  <c r="D127" i="6"/>
  <c r="C127" i="6"/>
  <c r="C95" i="6"/>
  <c r="D95" i="6"/>
  <c r="AO15" i="6"/>
  <c r="D99" i="6"/>
  <c r="C99" i="6"/>
  <c r="AO14" i="6"/>
  <c r="C103" i="6"/>
  <c r="D103" i="6"/>
  <c r="C105" i="6"/>
  <c r="D105" i="6"/>
  <c r="D108" i="6"/>
  <c r="C108" i="6"/>
  <c r="D111" i="6"/>
  <c r="C111" i="6"/>
  <c r="D114" i="6"/>
  <c r="C114" i="6"/>
  <c r="C117" i="6"/>
  <c r="D117" i="6"/>
  <c r="AO12" i="6"/>
  <c r="C122" i="6"/>
  <c r="D122" i="6"/>
  <c r="C124" i="6"/>
  <c r="D124" i="6"/>
  <c r="AP12" i="6" l="1"/>
  <c r="AP18" i="6"/>
  <c r="AP26" i="6"/>
  <c r="F128" i="3"/>
  <c r="J128" i="6" s="1"/>
  <c r="F120" i="3"/>
  <c r="J120" i="6" s="1"/>
  <c r="F112" i="3"/>
  <c r="J112" i="6" s="1"/>
  <c r="F104" i="3"/>
  <c r="J104" i="6" s="1"/>
  <c r="F96" i="3"/>
  <c r="J96" i="6" s="1"/>
  <c r="F88" i="3"/>
  <c r="J88" i="6" s="1"/>
  <c r="F80" i="3"/>
  <c r="J80" i="6" s="1"/>
  <c r="F72" i="3"/>
  <c r="J72" i="6" s="1"/>
  <c r="F64" i="3"/>
  <c r="J64" i="6" s="1"/>
  <c r="F56" i="3"/>
  <c r="J56" i="6" s="1"/>
  <c r="F48" i="3"/>
  <c r="J48" i="6" s="1"/>
  <c r="F40" i="3"/>
  <c r="J40" i="6" s="1"/>
  <c r="F32" i="3"/>
  <c r="J32" i="6" s="1"/>
  <c r="F122" i="3"/>
  <c r="J122" i="6" s="1"/>
  <c r="F114" i="3"/>
  <c r="J114" i="6" s="1"/>
  <c r="F106" i="3"/>
  <c r="J106" i="6" s="1"/>
  <c r="F98" i="3"/>
  <c r="J98" i="6" s="1"/>
  <c r="F90" i="3"/>
  <c r="J90" i="6" s="1"/>
  <c r="F82" i="3"/>
  <c r="J82" i="6" s="1"/>
  <c r="F74" i="3"/>
  <c r="J74" i="6" s="1"/>
  <c r="F66" i="3"/>
  <c r="J66" i="6" s="1"/>
  <c r="F58" i="3"/>
  <c r="J58" i="6" s="1"/>
  <c r="F50" i="3"/>
  <c r="J50" i="6" s="1"/>
  <c r="F42" i="3"/>
  <c r="J42" i="6" s="1"/>
  <c r="F34" i="3"/>
  <c r="J34" i="6" s="1"/>
  <c r="F24" i="3"/>
  <c r="J24" i="6" s="1"/>
  <c r="F124" i="3"/>
  <c r="J124" i="6" s="1"/>
  <c r="F116" i="3"/>
  <c r="J116" i="6" s="1"/>
  <c r="F108" i="3"/>
  <c r="J108" i="6" s="1"/>
  <c r="F100" i="3"/>
  <c r="J100" i="6" s="1"/>
  <c r="F92" i="3"/>
  <c r="J92" i="6" s="1"/>
  <c r="F84" i="3"/>
  <c r="J84" i="6" s="1"/>
  <c r="F76" i="3"/>
  <c r="J76" i="6" s="1"/>
  <c r="F68" i="3"/>
  <c r="J68" i="6" s="1"/>
  <c r="F60" i="3"/>
  <c r="J60" i="6" s="1"/>
  <c r="F52" i="3"/>
  <c r="J52" i="6" s="1"/>
  <c r="F44" i="3"/>
  <c r="J44" i="6" s="1"/>
  <c r="F36" i="3"/>
  <c r="J36" i="6" s="1"/>
  <c r="F126" i="3"/>
  <c r="J126" i="6" s="1"/>
  <c r="F118" i="3"/>
  <c r="J118" i="6" s="1"/>
  <c r="F110" i="3"/>
  <c r="J110" i="6" s="1"/>
  <c r="F102" i="3"/>
  <c r="J102" i="6" s="1"/>
  <c r="F94" i="3"/>
  <c r="J94" i="6" s="1"/>
  <c r="F86" i="3"/>
  <c r="J86" i="6" s="1"/>
  <c r="F78" i="3"/>
  <c r="J78" i="6" s="1"/>
  <c r="F70" i="3"/>
  <c r="J70" i="6" s="1"/>
  <c r="F62" i="3"/>
  <c r="J62" i="6" s="1"/>
  <c r="F54" i="3"/>
  <c r="J54" i="6" s="1"/>
  <c r="F46" i="3"/>
  <c r="J46" i="6" s="1"/>
  <c r="F38" i="3"/>
  <c r="J38" i="6" s="1"/>
  <c r="F30" i="3"/>
  <c r="J30" i="6" s="1"/>
  <c r="AP25" i="6"/>
  <c r="AP16" i="6"/>
  <c r="F132" i="3"/>
  <c r="J132" i="6" s="1"/>
  <c r="S124" i="6"/>
  <c r="W124" i="6" s="1"/>
  <c r="AP15" i="6"/>
  <c r="F28" i="3"/>
  <c r="J28" i="6" s="1"/>
  <c r="F20" i="3"/>
  <c r="J20" i="6" s="1"/>
  <c r="F25" i="3"/>
  <c r="J25" i="6" s="1"/>
  <c r="AP13" i="6"/>
  <c r="F129" i="3"/>
  <c r="J129" i="6" s="1"/>
  <c r="F125" i="3"/>
  <c r="J125" i="6" s="1"/>
  <c r="F121" i="3"/>
  <c r="J121" i="6" s="1"/>
  <c r="F117" i="3"/>
  <c r="J117" i="6" s="1"/>
  <c r="F113" i="3"/>
  <c r="J113" i="6" s="1"/>
  <c r="F109" i="3"/>
  <c r="J109" i="6" s="1"/>
  <c r="F105" i="3"/>
  <c r="J105" i="6" s="1"/>
  <c r="F101" i="3"/>
  <c r="J101" i="6" s="1"/>
  <c r="F97" i="3"/>
  <c r="J97" i="6" s="1"/>
  <c r="F93" i="3"/>
  <c r="J93" i="6" s="1"/>
  <c r="F89" i="3"/>
  <c r="J89" i="6" s="1"/>
  <c r="F85" i="3"/>
  <c r="J85" i="6" s="1"/>
  <c r="F81" i="3"/>
  <c r="J81" i="6" s="1"/>
  <c r="F77" i="3"/>
  <c r="J77" i="6" s="1"/>
  <c r="F73" i="3"/>
  <c r="J73" i="6" s="1"/>
  <c r="F69" i="3"/>
  <c r="J69" i="6" s="1"/>
  <c r="F65" i="3"/>
  <c r="J65" i="6" s="1"/>
  <c r="F61" i="3"/>
  <c r="J61" i="6" s="1"/>
  <c r="F57" i="3"/>
  <c r="J57" i="6" s="1"/>
  <c r="F53" i="3"/>
  <c r="J53" i="6" s="1"/>
  <c r="F49" i="3"/>
  <c r="J49" i="6" s="1"/>
  <c r="F45" i="3"/>
  <c r="J45" i="6" s="1"/>
  <c r="F41" i="3"/>
  <c r="J41" i="6" s="1"/>
  <c r="F37" i="3"/>
  <c r="J37" i="6" s="1"/>
  <c r="F33" i="3"/>
  <c r="J33" i="6" s="1"/>
  <c r="AP10" i="6"/>
  <c r="S122" i="6"/>
  <c r="W122" i="6" s="1"/>
  <c r="S114" i="6"/>
  <c r="W114" i="6" s="1"/>
  <c r="S111" i="6"/>
  <c r="W111" i="6" s="1"/>
  <c r="S108" i="6"/>
  <c r="W108" i="6" s="1"/>
  <c r="S127" i="6"/>
  <c r="W127" i="6" s="1"/>
  <c r="S106" i="6"/>
  <c r="W106" i="6" s="1"/>
  <c r="S100" i="6"/>
  <c r="W100" i="6" s="1"/>
  <c r="S93" i="6"/>
  <c r="W93" i="6" s="1"/>
  <c r="S91" i="6"/>
  <c r="W91" i="6" s="1"/>
  <c r="S89" i="6"/>
  <c r="W89" i="6" s="1"/>
  <c r="S87" i="6"/>
  <c r="W87" i="6" s="1"/>
  <c r="S85" i="6"/>
  <c r="W85" i="6" s="1"/>
  <c r="S83" i="6"/>
  <c r="W83" i="6" s="1"/>
  <c r="S81" i="6"/>
  <c r="W81" i="6" s="1"/>
  <c r="S65" i="6"/>
  <c r="W65" i="6" s="1"/>
  <c r="S123" i="6"/>
  <c r="W123" i="6" s="1"/>
  <c r="S121" i="6"/>
  <c r="W121" i="6" s="1"/>
  <c r="S98" i="6"/>
  <c r="W98" i="6" s="1"/>
  <c r="F133" i="3"/>
  <c r="J133" i="6" s="1"/>
  <c r="F29" i="3"/>
  <c r="J29" i="6" s="1"/>
  <c r="F21" i="3"/>
  <c r="J21" i="6" s="1"/>
  <c r="O6" i="4"/>
  <c r="O6" i="5"/>
  <c r="S102" i="6"/>
  <c r="W102" i="6" s="1"/>
  <c r="S94" i="6"/>
  <c r="W94" i="6" s="1"/>
  <c r="S92" i="6"/>
  <c r="W92" i="6" s="1"/>
  <c r="S80" i="6"/>
  <c r="W80" i="6" s="1"/>
  <c r="S78" i="6"/>
  <c r="W78" i="6" s="1"/>
  <c r="S66" i="6"/>
  <c r="W66" i="6" s="1"/>
  <c r="S54" i="6"/>
  <c r="W54" i="6" s="1"/>
  <c r="S48" i="6"/>
  <c r="W48" i="6" s="1"/>
  <c r="S36" i="6"/>
  <c r="W36" i="6" s="1"/>
  <c r="S32" i="6"/>
  <c r="W32" i="6" s="1"/>
  <c r="S20" i="6"/>
  <c r="W20" i="6" s="1"/>
  <c r="AP7" i="6"/>
  <c r="AP8" i="6"/>
  <c r="S133" i="6"/>
  <c r="W133" i="6" s="1"/>
  <c r="S79" i="6"/>
  <c r="W79" i="6" s="1"/>
  <c r="S77" i="6"/>
  <c r="W77" i="6" s="1"/>
  <c r="S75" i="6"/>
  <c r="W75" i="6" s="1"/>
  <c r="S73" i="6"/>
  <c r="W73" i="6" s="1"/>
  <c r="S71" i="6"/>
  <c r="W71" i="6" s="1"/>
  <c r="S69" i="6"/>
  <c r="W69" i="6" s="1"/>
  <c r="S25" i="6"/>
  <c r="W25" i="6" s="1"/>
  <c r="S63" i="6"/>
  <c r="W63" i="6" s="1"/>
  <c r="S59" i="6"/>
  <c r="W59" i="6" s="1"/>
  <c r="S57" i="6"/>
  <c r="W57" i="6" s="1"/>
  <c r="S55" i="6"/>
  <c r="W55" i="6" s="1"/>
  <c r="S53" i="6"/>
  <c r="W53" i="6" s="1"/>
  <c r="S49" i="6"/>
  <c r="W49" i="6" s="1"/>
  <c r="S47" i="6"/>
  <c r="W47" i="6" s="1"/>
  <c r="S45" i="6"/>
  <c r="W45" i="6" s="1"/>
  <c r="S43" i="6"/>
  <c r="W43" i="6" s="1"/>
  <c r="S38" i="6"/>
  <c r="W38" i="6" s="1"/>
  <c r="S34" i="6"/>
  <c r="W34" i="6" s="1"/>
  <c r="S30" i="6"/>
  <c r="W30" i="6" s="1"/>
  <c r="S22" i="6"/>
  <c r="W22" i="6" s="1"/>
  <c r="S76" i="6"/>
  <c r="W76" i="6" s="1"/>
  <c r="S74" i="6"/>
  <c r="W74" i="6" s="1"/>
  <c r="AP19" i="6"/>
  <c r="S39" i="6"/>
  <c r="W39" i="6" s="1"/>
  <c r="S35" i="6"/>
  <c r="W35" i="6" s="1"/>
  <c r="S31" i="6"/>
  <c r="W31" i="6" s="1"/>
  <c r="S27" i="6"/>
  <c r="W27" i="6" s="1"/>
  <c r="S117" i="6"/>
  <c r="W117" i="6" s="1"/>
  <c r="S105" i="6"/>
  <c r="W105" i="6" s="1"/>
  <c r="S103" i="6"/>
  <c r="W103" i="6" s="1"/>
  <c r="AP14" i="6"/>
  <c r="S99" i="6"/>
  <c r="W99" i="6" s="1"/>
  <c r="S95" i="6"/>
  <c r="W95" i="6" s="1"/>
  <c r="AP11" i="6"/>
  <c r="S120" i="6"/>
  <c r="W120" i="6" s="1"/>
  <c r="S112" i="6"/>
  <c r="W112" i="6" s="1"/>
  <c r="S96" i="6"/>
  <c r="W96" i="6" s="1"/>
  <c r="AC17" i="6"/>
  <c r="AP17" i="6"/>
  <c r="S134" i="6"/>
  <c r="W134" i="6" s="1"/>
  <c r="S126" i="6"/>
  <c r="W126" i="6" s="1"/>
  <c r="S118" i="6"/>
  <c r="W118" i="6" s="1"/>
  <c r="S115" i="6"/>
  <c r="W115" i="6" s="1"/>
  <c r="S113" i="6"/>
  <c r="W113" i="6" s="1"/>
  <c r="S109" i="6"/>
  <c r="W109" i="6" s="1"/>
  <c r="S107" i="6"/>
  <c r="W107" i="6" s="1"/>
  <c r="S104" i="6"/>
  <c r="W104" i="6" s="1"/>
  <c r="S101" i="6"/>
  <c r="W101" i="6" s="1"/>
  <c r="F134" i="3"/>
  <c r="J134" i="6" s="1"/>
  <c r="F26" i="3"/>
  <c r="J26" i="6" s="1"/>
  <c r="F135" i="3"/>
  <c r="J135" i="6" s="1"/>
  <c r="F131" i="3"/>
  <c r="J131" i="6" s="1"/>
  <c r="F127" i="3"/>
  <c r="J127" i="6" s="1"/>
  <c r="F123" i="3"/>
  <c r="J123" i="6" s="1"/>
  <c r="F119" i="3"/>
  <c r="J119" i="6" s="1"/>
  <c r="F115" i="3"/>
  <c r="J115" i="6" s="1"/>
  <c r="F111" i="3"/>
  <c r="J111" i="6" s="1"/>
  <c r="F107" i="3"/>
  <c r="J107" i="6" s="1"/>
  <c r="F103" i="3"/>
  <c r="J103" i="6" s="1"/>
  <c r="F99" i="3"/>
  <c r="J99" i="6" s="1"/>
  <c r="F95" i="3"/>
  <c r="J95" i="6" s="1"/>
  <c r="F91" i="3"/>
  <c r="J91" i="6" s="1"/>
  <c r="F87" i="3"/>
  <c r="J87" i="6" s="1"/>
  <c r="F83" i="3"/>
  <c r="J83" i="6" s="1"/>
  <c r="F79" i="3"/>
  <c r="J79" i="6" s="1"/>
  <c r="F75" i="3"/>
  <c r="J75" i="6" s="1"/>
  <c r="F71" i="3"/>
  <c r="J71" i="6" s="1"/>
  <c r="F67" i="3"/>
  <c r="J67" i="6" s="1"/>
  <c r="F63" i="3"/>
  <c r="J63" i="6" s="1"/>
  <c r="F59" i="3"/>
  <c r="J59" i="6" s="1"/>
  <c r="F55" i="3"/>
  <c r="J55" i="6" s="1"/>
  <c r="F51" i="3"/>
  <c r="J51" i="6" s="1"/>
  <c r="F47" i="3"/>
  <c r="J47" i="6" s="1"/>
  <c r="F43" i="3"/>
  <c r="J43" i="6" s="1"/>
  <c r="F39" i="3"/>
  <c r="J39" i="6" s="1"/>
  <c r="F35" i="3"/>
  <c r="J35" i="6" s="1"/>
  <c r="F31" i="3"/>
  <c r="J31" i="6" s="1"/>
  <c r="O5" i="5"/>
  <c r="K19" i="6"/>
  <c r="K27" i="6"/>
  <c r="K35" i="6"/>
  <c r="K43" i="6"/>
  <c r="K51" i="6"/>
  <c r="K59" i="6"/>
  <c r="K67" i="6"/>
  <c r="K75" i="6"/>
  <c r="K83" i="6"/>
  <c r="K91" i="6"/>
  <c r="K99" i="6"/>
  <c r="K107" i="6"/>
  <c r="K115" i="6"/>
  <c r="K123" i="6"/>
  <c r="K131" i="6"/>
  <c r="K26" i="6"/>
  <c r="K34" i="6"/>
  <c r="K42" i="6"/>
  <c r="K50" i="6"/>
  <c r="K58" i="6"/>
  <c r="K66" i="6"/>
  <c r="K74" i="6"/>
  <c r="K82" i="6"/>
  <c r="K90" i="6"/>
  <c r="K98" i="6"/>
  <c r="K106" i="6"/>
  <c r="K114" i="6"/>
  <c r="K122" i="6"/>
  <c r="K130" i="6"/>
  <c r="K20" i="6"/>
  <c r="K18" i="6"/>
  <c r="K25" i="6"/>
  <c r="K33" i="6"/>
  <c r="K41" i="6"/>
  <c r="K49" i="6"/>
  <c r="K57" i="6"/>
  <c r="K65" i="6"/>
  <c r="K73" i="6"/>
  <c r="K81" i="6"/>
  <c r="K89" i="6"/>
  <c r="K97" i="6"/>
  <c r="K105" i="6"/>
  <c r="K113" i="6"/>
  <c r="K121" i="6"/>
  <c r="K129" i="6"/>
  <c r="O5" i="4"/>
  <c r="K23" i="6"/>
  <c r="K31" i="6"/>
  <c r="K39" i="6"/>
  <c r="K47" i="6"/>
  <c r="K55" i="6"/>
  <c r="K63" i="6"/>
  <c r="K71" i="6"/>
  <c r="K79" i="6"/>
  <c r="K87" i="6"/>
  <c r="K95" i="6"/>
  <c r="K103" i="6"/>
  <c r="K111" i="6"/>
  <c r="K119" i="6"/>
  <c r="K127" i="6"/>
  <c r="K135" i="6"/>
  <c r="K30" i="6"/>
  <c r="K38" i="6"/>
  <c r="K46" i="6"/>
  <c r="K54" i="6"/>
  <c r="K62" i="6"/>
  <c r="K70" i="6"/>
  <c r="K78" i="6"/>
  <c r="K86" i="6"/>
  <c r="K94" i="6"/>
  <c r="K102" i="6"/>
  <c r="K110" i="6"/>
  <c r="K118" i="6"/>
  <c r="K126" i="6"/>
  <c r="K134" i="6"/>
  <c r="K21" i="6"/>
  <c r="K37" i="6"/>
  <c r="K53" i="6"/>
  <c r="K69" i="6"/>
  <c r="K85" i="6"/>
  <c r="K101" i="6"/>
  <c r="K117" i="6"/>
  <c r="K133" i="6"/>
  <c r="K28" i="6"/>
  <c r="K36" i="6"/>
  <c r="K44" i="6"/>
  <c r="K52" i="6"/>
  <c r="K60" i="6"/>
  <c r="K68" i="6"/>
  <c r="K76" i="6"/>
  <c r="K84" i="6"/>
  <c r="K92" i="6"/>
  <c r="K100" i="6"/>
  <c r="K108" i="6"/>
  <c r="K116" i="6"/>
  <c r="K124" i="6"/>
  <c r="K132" i="6"/>
  <c r="K24" i="6"/>
  <c r="K80" i="6"/>
  <c r="K96" i="6"/>
  <c r="K104" i="6"/>
  <c r="K120" i="6"/>
  <c r="K136" i="6"/>
  <c r="K29" i="6"/>
  <c r="K45" i="6"/>
  <c r="K61" i="6"/>
  <c r="K77" i="6"/>
  <c r="K93" i="6"/>
  <c r="K109" i="6"/>
  <c r="K125" i="6"/>
  <c r="K22" i="6"/>
  <c r="K32" i="6"/>
  <c r="K40" i="6"/>
  <c r="K48" i="6"/>
  <c r="K56" i="6"/>
  <c r="K64" i="6"/>
  <c r="K72" i="6"/>
  <c r="K88" i="6"/>
  <c r="K112" i="6"/>
  <c r="K128" i="6"/>
  <c r="F27" i="3"/>
  <c r="J27" i="6" s="1"/>
  <c r="F23" i="3"/>
  <c r="J23" i="6" s="1"/>
  <c r="F19" i="3"/>
  <c r="J19" i="6" s="1"/>
  <c r="F136" i="3"/>
  <c r="J136" i="6" s="1"/>
  <c r="S125" i="6"/>
  <c r="W125" i="6" s="1"/>
  <c r="S116" i="6"/>
  <c r="W116" i="6" s="1"/>
  <c r="S110" i="6"/>
  <c r="W110" i="6" s="1"/>
  <c r="S97" i="6"/>
  <c r="W97" i="6" s="1"/>
  <c r="S90" i="6"/>
  <c r="W90" i="6" s="1"/>
  <c r="S88" i="6"/>
  <c r="W88" i="6" s="1"/>
  <c r="S86" i="6"/>
  <c r="W86" i="6" s="1"/>
  <c r="S84" i="6"/>
  <c r="W84" i="6" s="1"/>
  <c r="S82" i="6"/>
  <c r="W82" i="6" s="1"/>
  <c r="S64" i="6"/>
  <c r="W64" i="6" s="1"/>
  <c r="S62" i="6"/>
  <c r="W62" i="6" s="1"/>
  <c r="S60" i="6"/>
  <c r="W60" i="6" s="1"/>
  <c r="S58" i="6"/>
  <c r="W58" i="6" s="1"/>
  <c r="S56" i="6"/>
  <c r="W56" i="6" s="1"/>
  <c r="S46" i="6"/>
  <c r="W46" i="6" s="1"/>
  <c r="S44" i="6"/>
  <c r="W44" i="6" s="1"/>
  <c r="S42" i="6"/>
  <c r="W42" i="6" s="1"/>
  <c r="S40" i="6"/>
  <c r="W40" i="6" s="1"/>
  <c r="S28" i="6"/>
  <c r="W28" i="6" s="1"/>
  <c r="S24" i="6"/>
  <c r="W24" i="6" s="1"/>
  <c r="S135" i="6"/>
  <c r="W135" i="6" s="1"/>
  <c r="AP9" i="6"/>
  <c r="S131" i="6"/>
  <c r="W131" i="6" s="1"/>
  <c r="S129" i="6"/>
  <c r="W129" i="6" s="1"/>
  <c r="S119" i="6"/>
  <c r="W119" i="6" s="1"/>
  <c r="S67" i="6"/>
  <c r="W67" i="6" s="1"/>
  <c r="S61" i="6"/>
  <c r="W61" i="6" s="1"/>
  <c r="S51" i="6"/>
  <c r="W51" i="6" s="1"/>
  <c r="S37" i="6"/>
  <c r="W37" i="6" s="1"/>
  <c r="S33" i="6"/>
  <c r="W33" i="6" s="1"/>
  <c r="S29" i="6"/>
  <c r="W29" i="6" s="1"/>
  <c r="S21" i="6"/>
  <c r="W21" i="6" s="1"/>
  <c r="S23" i="6"/>
  <c r="W23" i="6" s="1"/>
  <c r="AP22" i="6"/>
  <c r="S41" i="6"/>
  <c r="W41" i="6" s="1"/>
  <c r="S26" i="6"/>
  <c r="W26" i="6" s="1"/>
  <c r="S18" i="6"/>
  <c r="W18" i="6" s="1"/>
  <c r="X18" i="6" s="1"/>
  <c r="S136" i="6"/>
  <c r="W136" i="6" s="1"/>
  <c r="S132" i="6"/>
  <c r="W132" i="6" s="1"/>
  <c r="S130" i="6"/>
  <c r="W130" i="6" s="1"/>
  <c r="S128" i="6"/>
  <c r="W128" i="6" s="1"/>
  <c r="S72" i="6"/>
  <c r="W72" i="6" s="1"/>
  <c r="S70" i="6"/>
  <c r="W70" i="6" s="1"/>
  <c r="S68" i="6"/>
  <c r="W68" i="6" s="1"/>
  <c r="S52" i="6"/>
  <c r="W52" i="6" s="1"/>
  <c r="S50" i="6"/>
  <c r="W50" i="6" s="1"/>
  <c r="AP24" i="6"/>
  <c r="S19" i="6"/>
  <c r="W19" i="6" s="1"/>
  <c r="X19" i="6" l="1"/>
  <c r="X20" i="6" s="1"/>
  <c r="X21" i="6" s="1"/>
  <c r="X22" i="6" l="1"/>
  <c r="X23" i="6" l="1"/>
  <c r="X24" i="6" l="1"/>
  <c r="X25" i="6" l="1"/>
  <c r="X26" i="6" l="1"/>
  <c r="X27" i="6" l="1"/>
  <c r="X28" i="6" l="1"/>
  <c r="X29" i="6" l="1"/>
  <c r="X30" i="6" l="1"/>
  <c r="X31" i="6" l="1"/>
  <c r="X32" i="6" l="1"/>
  <c r="X33" i="6" l="1"/>
  <c r="X34" i="6" l="1"/>
  <c r="X35" i="6" l="1"/>
  <c r="X36" i="6" l="1"/>
  <c r="X37" i="6" l="1"/>
  <c r="X38" i="6" l="1"/>
  <c r="X39" i="6" l="1"/>
  <c r="X40" i="6" l="1"/>
  <c r="X41" i="6" l="1"/>
  <c r="X42" i="6" l="1"/>
  <c r="X43" i="6" l="1"/>
  <c r="X44" i="6" l="1"/>
  <c r="X45" i="6" l="1"/>
  <c r="X46" i="6" l="1"/>
  <c r="X47" i="6" l="1"/>
  <c r="X48" i="6" l="1"/>
  <c r="X49" i="6" l="1"/>
  <c r="X50" i="6" l="1"/>
  <c r="X51" i="6" l="1"/>
  <c r="X52" i="6" l="1"/>
  <c r="X53" i="6" l="1"/>
  <c r="X54" i="6" l="1"/>
  <c r="X55" i="6" l="1"/>
  <c r="X56" i="6" l="1"/>
  <c r="X57" i="6" l="1"/>
  <c r="X58" i="6" l="1"/>
  <c r="X59" i="6" l="1"/>
  <c r="X60" i="6" l="1"/>
  <c r="X61" i="6" l="1"/>
  <c r="X62" i="6" l="1"/>
  <c r="X63" i="6" l="1"/>
  <c r="X64" i="6" l="1"/>
  <c r="X65" i="6" l="1"/>
  <c r="X66" i="6" l="1"/>
  <c r="X67" i="6" l="1"/>
  <c r="X68" i="6" l="1"/>
  <c r="X69" i="6" l="1"/>
  <c r="X70" i="6" l="1"/>
  <c r="X71" i="6" l="1"/>
  <c r="X72" i="6" l="1"/>
  <c r="X73" i="6" l="1"/>
  <c r="X74" i="6" l="1"/>
  <c r="X75" i="6" l="1"/>
  <c r="X76" i="6" l="1"/>
  <c r="X77" i="6" l="1"/>
  <c r="X78" i="6" l="1"/>
  <c r="X79" i="6" l="1"/>
  <c r="X80" i="6" l="1"/>
  <c r="X81" i="6" l="1"/>
  <c r="X82" i="6" l="1"/>
  <c r="X83" i="6" l="1"/>
  <c r="X84" i="6" l="1"/>
  <c r="X85" i="6" l="1"/>
  <c r="X86" i="6" l="1"/>
  <c r="X87" i="6" l="1"/>
  <c r="X88" i="6" l="1"/>
  <c r="X89" i="6" l="1"/>
  <c r="X90" i="6" l="1"/>
  <c r="X91" i="6" l="1"/>
  <c r="X92" i="6" l="1"/>
  <c r="X93" i="6" l="1"/>
  <c r="X94" i="6" l="1"/>
  <c r="X95" i="6" l="1"/>
  <c r="X96" i="6" l="1"/>
  <c r="X97" i="6" l="1"/>
  <c r="X98" i="6" l="1"/>
  <c r="X99" i="6" l="1"/>
  <c r="X100" i="6" l="1"/>
  <c r="X101" i="6" l="1"/>
  <c r="X102" i="6" l="1"/>
  <c r="X103" i="6" l="1"/>
  <c r="X104" i="6" l="1"/>
  <c r="X105" i="6" l="1"/>
  <c r="X106" i="6" l="1"/>
  <c r="X107" i="6" l="1"/>
  <c r="X108" i="6" l="1"/>
  <c r="X109" i="6" l="1"/>
  <c r="X110" i="6" l="1"/>
  <c r="X111" i="6" l="1"/>
  <c r="X112" i="6" l="1"/>
  <c r="X113" i="6" l="1"/>
  <c r="X114" i="6" l="1"/>
  <c r="X115" i="6" l="1"/>
  <c r="X116" i="6" l="1"/>
  <c r="X117" i="6" l="1"/>
  <c r="X118" i="6" l="1"/>
  <c r="X119" i="6" l="1"/>
  <c r="X120" i="6" l="1"/>
  <c r="X121" i="6" l="1"/>
  <c r="X122" i="6" l="1"/>
  <c r="X123" i="6" l="1"/>
  <c r="X124" i="6" l="1"/>
  <c r="X125" i="6" l="1"/>
  <c r="X126" i="6" l="1"/>
  <c r="X127" i="6" l="1"/>
  <c r="X128" i="6" l="1"/>
  <c r="X129" i="6" l="1"/>
  <c r="X130" i="6" l="1"/>
  <c r="X131" i="6" l="1"/>
  <c r="X132" i="6" l="1"/>
  <c r="X133" i="6" l="1"/>
  <c r="X134" i="6" l="1"/>
  <c r="X135" i="6" l="1"/>
  <c r="X136" i="6" l="1"/>
  <c r="T136" i="6" l="1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91" i="6"/>
  <c r="T92" i="6"/>
  <c r="T93" i="6"/>
  <c r="T94" i="6"/>
  <c r="T95" i="6"/>
  <c r="T96" i="6"/>
  <c r="T97" i="6"/>
  <c r="T98" i="6"/>
  <c r="T99" i="6"/>
  <c r="T100" i="6"/>
  <c r="T101" i="6"/>
  <c r="T102" i="6"/>
  <c r="T103" i="6"/>
  <c r="T104" i="6"/>
  <c r="T105" i="6"/>
  <c r="T106" i="6"/>
  <c r="T107" i="6"/>
  <c r="T108" i="6"/>
  <c r="T109" i="6"/>
  <c r="T110" i="6"/>
  <c r="T111" i="6"/>
  <c r="T112" i="6"/>
  <c r="T113" i="6"/>
  <c r="T114" i="6"/>
  <c r="T115" i="6"/>
  <c r="T116" i="6"/>
  <c r="T117" i="6"/>
  <c r="T118" i="6"/>
  <c r="T119" i="6"/>
  <c r="T120" i="6"/>
  <c r="T121" i="6"/>
  <c r="T122" i="6"/>
  <c r="T123" i="6"/>
  <c r="T124" i="6"/>
  <c r="T125" i="6"/>
  <c r="T126" i="6"/>
  <c r="T127" i="6"/>
  <c r="T128" i="6"/>
  <c r="T129" i="6"/>
  <c r="T130" i="6"/>
  <c r="T131" i="6"/>
  <c r="T132" i="6"/>
  <c r="T133" i="6"/>
  <c r="T134" i="6"/>
  <c r="T135" i="6"/>
  <c r="K3" i="4" l="1"/>
  <c r="K3" i="5"/>
  <c r="I8" i="3"/>
</calcChain>
</file>

<file path=xl/sharedStrings.xml><?xml version="1.0" encoding="utf-8"?>
<sst xmlns="http://schemas.openxmlformats.org/spreadsheetml/2006/main" count="170" uniqueCount="97">
  <si>
    <t>air/oil</t>
  </si>
  <si>
    <t>Above Free Water, ft</t>
  </si>
  <si>
    <t>Bulk</t>
  </si>
  <si>
    <t>Volume,</t>
  </si>
  <si>
    <t>Gas-Oil,</t>
  </si>
  <si>
    <t>Saturation,</t>
  </si>
  <si>
    <t>Inc. (mD)</t>
  </si>
  <si>
    <t>Cumulative</t>
  </si>
  <si>
    <t>Hg Sat</t>
  </si>
  <si>
    <t>Weight,</t>
  </si>
  <si>
    <t>Laboratory TcosTheta</t>
  </si>
  <si>
    <t>MERCURY INJECTION CAPILLARY PRESSURE</t>
  </si>
  <si>
    <t>Gas:</t>
  </si>
  <si>
    <t>cumulative</t>
  </si>
  <si>
    <t>Oil:</t>
  </si>
  <si>
    <t>Sample</t>
  </si>
  <si>
    <t>incremental</t>
  </si>
  <si>
    <t>Estimated Height</t>
  </si>
  <si>
    <t>grams</t>
  </si>
  <si>
    <t>Helium</t>
  </si>
  <si>
    <t>Funct.</t>
  </si>
  <si>
    <t>%BV</t>
  </si>
  <si>
    <t>Mercury IFT</t>
  </si>
  <si>
    <t>Grain Density, grams/cc:</t>
  </si>
  <si>
    <t>Reservoir Contact Angle</t>
  </si>
  <si>
    <t>fraction</t>
  </si>
  <si>
    <t>grams/cc</t>
  </si>
  <si>
    <t>Sb/Pc</t>
  </si>
  <si>
    <t>oil/water</t>
  </si>
  <si>
    <t>Laboratory IFT</t>
  </si>
  <si>
    <t>PSD HISTOGRAM</t>
  </si>
  <si>
    <t>Laboratory Contact Angle</t>
  </si>
  <si>
    <t>intrusion</t>
  </si>
  <si>
    <t>Saturation</t>
  </si>
  <si>
    <t>O-W</t>
  </si>
  <si>
    <t>cc</t>
  </si>
  <si>
    <t>Conformance Correction,</t>
  </si>
  <si>
    <t>Norm. Pore</t>
  </si>
  <si>
    <t xml:space="preserve"> </t>
  </si>
  <si>
    <t>Density,</t>
  </si>
  <si>
    <t>Sample Number:</t>
  </si>
  <si>
    <t>Oil-Water,</t>
  </si>
  <si>
    <t>Contribution</t>
  </si>
  <si>
    <t>Size Dist.</t>
  </si>
  <si>
    <t>Pore Throat</t>
  </si>
  <si>
    <t xml:space="preserve"> 1.0-Mercury </t>
  </si>
  <si>
    <t>Radius, µm</t>
  </si>
  <si>
    <t>Fluid Density Gradients</t>
  </si>
  <si>
    <t>psia</t>
  </si>
  <si>
    <t xml:space="preserve">Mercury </t>
  </si>
  <si>
    <t>Conversion Parameters</t>
  </si>
  <si>
    <t>air/water</t>
  </si>
  <si>
    <t>Porosity, fraction:</t>
  </si>
  <si>
    <t>Diameter,</t>
  </si>
  <si>
    <t>microns</t>
  </si>
  <si>
    <t>frequency</t>
  </si>
  <si>
    <t>Corrected</t>
  </si>
  <si>
    <t>Uncorrected</t>
  </si>
  <si>
    <t>Normalized</t>
  </si>
  <si>
    <t>%PV</t>
  </si>
  <si>
    <t>Reservoir TcosTheta</t>
  </si>
  <si>
    <t>Porosity,</t>
  </si>
  <si>
    <t>Mercury</t>
  </si>
  <si>
    <t>micron</t>
  </si>
  <si>
    <t>Injection Pressure,</t>
  </si>
  <si>
    <t>G-W</t>
  </si>
  <si>
    <t>air/Hg</t>
  </si>
  <si>
    <t>d Log</t>
  </si>
  <si>
    <t>Function</t>
  </si>
  <si>
    <t>Mercury Saturation</t>
  </si>
  <si>
    <t>ml</t>
  </si>
  <si>
    <t>Water:</t>
  </si>
  <si>
    <t>IFT * Cosine Contact Angle:</t>
  </si>
  <si>
    <t>Gas-Water,</t>
  </si>
  <si>
    <t>Permeability to Air (calc), mD:</t>
  </si>
  <si>
    <t>Pore Radius,</t>
  </si>
  <si>
    <t>Mercury Injection</t>
  </si>
  <si>
    <t>Pressure,</t>
  </si>
  <si>
    <t>Radius,</t>
  </si>
  <si>
    <t>d Sw/d Log</t>
  </si>
  <si>
    <t>Reservoir IFT</t>
  </si>
  <si>
    <t>&lt; 0.0018</t>
  </si>
  <si>
    <t>Mercury Contact Angle</t>
  </si>
  <si>
    <t>Grain</t>
  </si>
  <si>
    <t>Injection</t>
  </si>
  <si>
    <t>Other Laboratory Systems</t>
  </si>
  <si>
    <t>Permeability</t>
  </si>
  <si>
    <t>J</t>
  </si>
  <si>
    <t>Pore</t>
  </si>
  <si>
    <t>7</t>
  </si>
  <si>
    <t>Cum. (mD)</t>
  </si>
  <si>
    <t>Incremental</t>
  </si>
  <si>
    <t>Sample Depth, m:</t>
  </si>
  <si>
    <t>NordAq Energy Inc.</t>
  </si>
  <si>
    <t>East Simpson No. 2 (USGS/Husky 1980)</t>
  </si>
  <si>
    <t>Torok Sandstones Formation</t>
  </si>
  <si>
    <t>HH-61176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</si>
</sst>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6" formatCode="0.0_)"/>
    <numFmt numFmtId="168" formatCode="0.0"/>
    <numFmt numFmtId="169" formatCode="0.000"/>
    <numFmt numFmtId="170" formatCode="0.0000"/>
    <numFmt numFmtId="171" formatCode="???0.00"/>
    <numFmt numFmtId="172" formatCode="[&lt;1]0.?0;[&gt;10]0;0.0"/>
    <numFmt numFmtId="173" formatCode="[&lt;1]0.000;[&gt;10]0.0;0.00"/>
    <numFmt numFmtId="174" formatCode="[&lt;0.1]0.000;[&gt;0.1]0.00;0.0"/>
    <numFmt numFmtId="175" formatCode="[Blue]General"/>
    <numFmt numFmtId="176" formatCode="?????.0"/>
    <numFmt numFmtId="177" formatCode="[&lt;10]???0.00;[&gt;100]???0;???0.0"/>
    <numFmt numFmtId="178" formatCode="?????"/>
    <numFmt numFmtId="179" formatCode="?????.00"/>
    <numFmt numFmtId="180" formatCode="[&lt;100]????0.0;[&gt;100]?????;General"/>
    <numFmt numFmtId="181" formatCode="????0.00"/>
    <numFmt numFmtId="183" formatCode="??0."/>
    <numFmt numFmtId="184" formatCode="??????0.0000"/>
    <numFmt numFmtId="186" formatCode="????0.0?"/>
    <numFmt numFmtId="187" formatCode="????0.??"/>
    <numFmt numFmtId="188" formatCode="0.00??"/>
    <numFmt numFmtId="189" formatCode="0.00000"/>
    <numFmt numFmtId="191" formatCode="m\-dd\-yy"/>
    <numFmt numFmtId="192" formatCode="??0.000"/>
    <numFmt numFmtId="194" formatCode="???0.000"/>
    <numFmt numFmtId="196" formatCode="????0.000"/>
    <numFmt numFmtId="197" formatCode="??0.0000"/>
    <numFmt numFmtId="198" formatCode="0.0\ \ \ \ 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color indexed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8" fillId="0" borderId="0"/>
  </cellStyleXfs>
  <cellXfs count="171">
    <xf numFmtId="0" fontId="0" fillId="0" borderId="0" xfId="0"/>
    <xf numFmtId="2" fontId="0" fillId="0" borderId="0" xfId="3" applyNumberFormat="1" applyFont="1" applyBorder="1" applyAlignment="1" applyProtection="1">
      <alignment horizontal="center"/>
    </xf>
    <xf numFmtId="168" fontId="0" fillId="0" borderId="0" xfId="3" applyNumberFormat="1" applyFont="1" applyProtection="1"/>
    <xf numFmtId="194" fontId="0" fillId="0" borderId="0" xfId="3" applyNumberFormat="1" applyFont="1" applyAlignment="1" applyProtection="1">
      <alignment horizontal="center"/>
    </xf>
    <xf numFmtId="0" fontId="0" fillId="0" borderId="0" xfId="0" applyFont="1" applyAlignment="1">
      <alignment horizontal="center"/>
    </xf>
    <xf numFmtId="0" fontId="0" fillId="0" borderId="1" xfId="3" applyFont="1" applyFill="1" applyBorder="1" applyAlignment="1" applyProtection="1">
      <alignment horizontal="center" vertical="center"/>
    </xf>
    <xf numFmtId="184" fontId="0" fillId="0" borderId="0" xfId="0" applyNumberFormat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3" applyFont="1" applyAlignment="1" applyProtection="1">
      <alignment horizontal="centerContinuous"/>
    </xf>
    <xf numFmtId="0" fontId="2" fillId="2" borderId="0" xfId="0" applyFont="1" applyFill="1" applyBorder="1" applyAlignment="1">
      <alignment vertical="center"/>
    </xf>
    <xf numFmtId="0" fontId="0" fillId="0" borderId="4" xfId="3" applyFont="1" applyBorder="1" applyAlignment="1" applyProtection="1">
      <alignment horizontal="centerContinuous" vertical="center"/>
    </xf>
    <xf numFmtId="169" fontId="0" fillId="0" borderId="0" xfId="0" applyNumberFormat="1" applyFont="1"/>
    <xf numFmtId="0" fontId="0" fillId="0" borderId="0" xfId="0" applyFill="1" applyBorder="1" applyAlignment="1"/>
    <xf numFmtId="169" fontId="0" fillId="0" borderId="0" xfId="3" applyNumberFormat="1" applyFont="1"/>
    <xf numFmtId="0" fontId="0" fillId="0" borderId="0" xfId="3" applyFont="1" applyAlignment="1"/>
    <xf numFmtId="169" fontId="3" fillId="0" borderId="6" xfId="3" applyNumberFormat="1" applyFont="1" applyBorder="1" applyProtection="1">
      <protection locked="0"/>
    </xf>
    <xf numFmtId="194" fontId="0" fillId="0" borderId="0" xfId="3" applyNumberFormat="1" applyFont="1" applyFill="1" applyAlignment="1" applyProtection="1">
      <alignment horizontal="center"/>
    </xf>
    <xf numFmtId="189" fontId="0" fillId="0" borderId="0" xfId="0" applyNumberFormat="1" applyFont="1" applyAlignment="1">
      <alignment horizontal="right"/>
    </xf>
    <xf numFmtId="0" fontId="0" fillId="0" borderId="10" xfId="3" applyFont="1" applyBorder="1" applyAlignment="1" applyProtection="1">
      <alignment horizontal="centerContinuous" vertical="center"/>
    </xf>
    <xf numFmtId="169" fontId="0" fillId="0" borderId="0" xfId="0" applyNumberFormat="1" applyBorder="1" applyAlignment="1">
      <alignment horizontal="center"/>
    </xf>
    <xf numFmtId="0" fontId="0" fillId="0" borderId="0" xfId="3" applyFont="1" applyAlignment="1" applyProtection="1">
      <alignment horizontal="center"/>
    </xf>
    <xf numFmtId="0" fontId="0" fillId="0" borderId="4" xfId="3" applyFont="1" applyBorder="1" applyAlignment="1" applyProtection="1">
      <alignment horizontal="left"/>
    </xf>
    <xf numFmtId="0" fontId="4" fillId="0" borderId="0" xfId="0" applyFont="1" applyFill="1" applyBorder="1" applyAlignment="1">
      <alignment horizontal="center"/>
    </xf>
    <xf numFmtId="2" fontId="0" fillId="0" borderId="5" xfId="3" applyNumberFormat="1" applyFont="1" applyBorder="1" applyAlignment="1" applyProtection="1">
      <alignment horizontal="center"/>
    </xf>
    <xf numFmtId="170" fontId="0" fillId="0" borderId="0" xfId="3" applyNumberFormat="1" applyFont="1" applyAlignment="1" applyProtection="1">
      <alignment horizontal="right"/>
    </xf>
    <xf numFmtId="181" fontId="0" fillId="0" borderId="0" xfId="3" applyNumberFormat="1" applyFont="1" applyBorder="1" applyAlignment="1" applyProtection="1">
      <alignment horizontal="centerContinuous"/>
    </xf>
    <xf numFmtId="172" fontId="0" fillId="0" borderId="0" xfId="3" applyNumberFormat="1" applyFont="1" applyAlignment="1" applyProtection="1">
      <alignment horizontal="center"/>
    </xf>
    <xf numFmtId="192" fontId="0" fillId="0" borderId="0" xfId="3" applyNumberFormat="1" applyFont="1" applyAlignment="1" applyProtection="1">
      <alignment horizontal="center"/>
    </xf>
    <xf numFmtId="183" fontId="0" fillId="0" borderId="0" xfId="0" applyNumberFormat="1" applyBorder="1" applyAlignment="1">
      <alignment horizontal="center"/>
    </xf>
    <xf numFmtId="196" fontId="0" fillId="0" borderId="0" xfId="3" applyNumberFormat="1" applyFont="1" applyAlignment="1" applyProtection="1">
      <alignment horizontal="left"/>
    </xf>
    <xf numFmtId="0" fontId="0" fillId="0" borderId="0" xfId="0" applyFont="1" applyAlignment="1">
      <alignment horizontal="right"/>
    </xf>
    <xf numFmtId="2" fontId="0" fillId="0" borderId="0" xfId="0" applyNumberFormat="1" applyAlignment="1">
      <alignment horizontal="center"/>
    </xf>
    <xf numFmtId="0" fontId="0" fillId="0" borderId="6" xfId="3" applyFont="1" applyBorder="1" applyAlignment="1" applyProtection="1">
      <alignment horizontal="centerContinuous" vertical="center"/>
    </xf>
    <xf numFmtId="170" fontId="0" fillId="0" borderId="0" xfId="0" applyNumberFormat="1" applyBorder="1" applyAlignment="1">
      <alignment horizontal="center"/>
    </xf>
    <xf numFmtId="178" fontId="0" fillId="0" borderId="0" xfId="3" applyNumberFormat="1" applyFont="1" applyBorder="1" applyAlignment="1" applyProtection="1">
      <alignment horizontal="center"/>
    </xf>
    <xf numFmtId="181" fontId="0" fillId="0" borderId="0" xfId="3" applyNumberFormat="1" applyFont="1" applyBorder="1" applyAlignment="1" applyProtection="1">
      <alignment horizontal="center"/>
    </xf>
    <xf numFmtId="0" fontId="0" fillId="0" borderId="13" xfId="3" applyNumberFormat="1" applyFont="1" applyBorder="1" applyAlignment="1" applyProtection="1">
      <alignment horizontal="center"/>
    </xf>
    <xf numFmtId="0" fontId="0" fillId="0" borderId="0" xfId="3" applyNumberFormat="1" applyFont="1" applyBorder="1" applyAlignment="1" applyProtection="1">
      <alignment horizontal="center"/>
    </xf>
    <xf numFmtId="166" fontId="0" fillId="0" borderId="6" xfId="3" applyNumberFormat="1" applyFont="1" applyBorder="1" applyAlignment="1" applyProtection="1">
      <alignment horizontal="center"/>
    </xf>
    <xf numFmtId="0" fontId="0" fillId="0" borderId="8" xfId="3" applyFont="1" applyBorder="1"/>
    <xf numFmtId="169" fontId="3" fillId="0" borderId="0" xfId="3" applyNumberFormat="1" applyFont="1" applyBorder="1" applyProtection="1">
      <protection locked="0"/>
    </xf>
    <xf numFmtId="0" fontId="0" fillId="0" borderId="0" xfId="0" applyFill="1" applyBorder="1" applyAlignment="1">
      <alignment vertical="center"/>
    </xf>
    <xf numFmtId="170" fontId="0" fillId="0" borderId="0" xfId="0" applyNumberFormat="1" applyFill="1" applyBorder="1" applyAlignment="1"/>
    <xf numFmtId="2" fontId="0" fillId="0" borderId="0" xfId="3" applyNumberFormat="1" applyFont="1" applyAlignment="1" applyProtection="1">
      <alignment horizontal="right"/>
    </xf>
    <xf numFmtId="191" fontId="0" fillId="0" borderId="0" xfId="2" applyNumberFormat="1" applyFont="1" applyFill="1"/>
    <xf numFmtId="0" fontId="0" fillId="0" borderId="0" xfId="0" applyFont="1"/>
    <xf numFmtId="0" fontId="0" fillId="0" borderId="0" xfId="3" applyFont="1"/>
    <xf numFmtId="169" fontId="0" fillId="0" borderId="0" xfId="0" applyNumberFormat="1" applyFont="1" applyBorder="1" applyAlignment="1">
      <alignment horizontal="center"/>
    </xf>
    <xf numFmtId="169" fontId="3" fillId="0" borderId="0" xfId="3" applyNumberFormat="1" applyFont="1" applyFill="1" applyBorder="1" applyProtection="1">
      <protection locked="0"/>
    </xf>
    <xf numFmtId="169" fontId="0" fillId="0" borderId="0" xfId="3" applyNumberFormat="1" applyFont="1" applyBorder="1" applyAlignment="1">
      <alignment horizontal="center"/>
    </xf>
    <xf numFmtId="1" fontId="0" fillId="0" borderId="0" xfId="3" applyNumberFormat="1" applyFont="1" applyProtection="1"/>
    <xf numFmtId="0" fontId="0" fillId="0" borderId="11" xfId="3" applyFont="1" applyBorder="1" applyAlignment="1" applyProtection="1">
      <alignment horizontal="centerContinuous" vertical="center"/>
    </xf>
    <xf numFmtId="181" fontId="0" fillId="0" borderId="12" xfId="3" applyNumberFormat="1" applyFont="1" applyBorder="1" applyAlignment="1" applyProtection="1">
      <alignment horizontal="centerContinuous"/>
    </xf>
    <xf numFmtId="0" fontId="0" fillId="0" borderId="1" xfId="0" applyFont="1" applyBorder="1"/>
    <xf numFmtId="177" fontId="0" fillId="0" borderId="0" xfId="3" applyNumberFormat="1" applyFont="1" applyBorder="1" applyAlignment="1" applyProtection="1">
      <alignment horizontal="center"/>
    </xf>
    <xf numFmtId="0" fontId="0" fillId="0" borderId="7" xfId="3" applyFont="1" applyBorder="1"/>
    <xf numFmtId="0" fontId="6" fillId="0" borderId="0" xfId="3" applyFont="1" applyProtection="1"/>
    <xf numFmtId="0" fontId="0" fillId="0" borderId="6" xfId="0" applyFont="1" applyBorder="1" applyAlignment="1">
      <alignment horizontal="center"/>
    </xf>
    <xf numFmtId="0" fontId="0" fillId="0" borderId="0" xfId="3" applyFont="1" applyFill="1"/>
    <xf numFmtId="0" fontId="0" fillId="0" borderId="0" xfId="0" applyBorder="1" applyAlignment="1">
      <alignment horizontal="center"/>
    </xf>
    <xf numFmtId="0" fontId="5" fillId="0" borderId="0" xfId="3" applyFont="1" applyAlignment="1">
      <alignment horizontal="centerContinuous"/>
    </xf>
    <xf numFmtId="181" fontId="0" fillId="0" borderId="15" xfId="3" applyNumberFormat="1" applyFont="1" applyBorder="1" applyAlignment="1" applyProtection="1">
      <alignment horizontal="centerContinuous"/>
    </xf>
    <xf numFmtId="0" fontId="0" fillId="0" borderId="0" xfId="3" applyFont="1" applyProtection="1"/>
    <xf numFmtId="0" fontId="0" fillId="0" borderId="0" xfId="3" applyFont="1" applyBorder="1" applyAlignment="1" applyProtection="1">
      <alignment horizontal="centerContinuous" vertical="center"/>
    </xf>
    <xf numFmtId="169" fontId="0" fillId="0" borderId="0" xfId="3" applyNumberFormat="1" applyFont="1" applyBorder="1" applyAlignment="1" applyProtection="1">
      <alignment horizontal="center"/>
    </xf>
    <xf numFmtId="173" fontId="0" fillId="0" borderId="0" xfId="3" applyNumberFormat="1" applyFont="1" applyBorder="1" applyAlignment="1" applyProtection="1">
      <alignment horizontal="center"/>
    </xf>
    <xf numFmtId="169" fontId="3" fillId="0" borderId="9" xfId="3" applyNumberFormat="1" applyFont="1" applyBorder="1" applyProtection="1">
      <protection locked="0"/>
    </xf>
    <xf numFmtId="0" fontId="0" fillId="0" borderId="14" xfId="3" applyFont="1" applyBorder="1" applyAlignment="1" applyProtection="1">
      <alignment horizontal="center" vertical="center"/>
    </xf>
    <xf numFmtId="0" fontId="0" fillId="0" borderId="7" xfId="3" applyFont="1" applyBorder="1" applyProtection="1"/>
    <xf numFmtId="2" fontId="0" fillId="0" borderId="0" xfId="0" applyNumberFormat="1" applyFont="1" applyAlignment="1"/>
    <xf numFmtId="0" fontId="0" fillId="0" borderId="0" xfId="3" applyFont="1" applyFill="1" applyProtection="1"/>
    <xf numFmtId="180" fontId="0" fillId="0" borderId="0" xfId="3" applyNumberFormat="1" applyFont="1" applyBorder="1" applyAlignment="1" applyProtection="1">
      <alignment horizontal="center"/>
    </xf>
    <xf numFmtId="198" fontId="0" fillId="0" borderId="0" xfId="0" quotePrefix="1" applyNumberFormat="1" applyFont="1" applyBorder="1" applyAlignment="1">
      <alignment horizontal="left"/>
    </xf>
    <xf numFmtId="168" fontId="0" fillId="0" borderId="0" xfId="0" applyNumberFormat="1" applyAlignment="1">
      <alignment horizontal="center"/>
    </xf>
    <xf numFmtId="0" fontId="5" fillId="0" borderId="0" xfId="3" applyFont="1" applyAlignment="1" applyProtection="1">
      <alignment horizontal="centerContinuous"/>
    </xf>
    <xf numFmtId="0" fontId="0" fillId="0" borderId="14" xfId="3" applyFont="1" applyFill="1" applyBorder="1" applyAlignment="1" applyProtection="1">
      <alignment horizontal="center" vertical="center"/>
    </xf>
    <xf numFmtId="0" fontId="0" fillId="0" borderId="13" xfId="3" applyFont="1" applyBorder="1" applyAlignment="1" applyProtection="1">
      <alignment horizontal="center"/>
      <protection locked="0"/>
    </xf>
    <xf numFmtId="0" fontId="0" fillId="0" borderId="0" xfId="3" applyFont="1" applyBorder="1" applyAlignment="1" applyProtection="1">
      <alignment horizontal="center"/>
      <protection locked="0"/>
    </xf>
    <xf numFmtId="0" fontId="0" fillId="0" borderId="0" xfId="3" applyFont="1" applyBorder="1" applyAlignment="1" applyProtection="1">
      <alignment horizontal="center" vertical="center"/>
    </xf>
    <xf numFmtId="0" fontId="0" fillId="0" borderId="0" xfId="3" applyFont="1" applyBorder="1" applyAlignment="1" applyProtection="1">
      <alignment horizontal="left"/>
    </xf>
    <xf numFmtId="0" fontId="0" fillId="0" borderId="0" xfId="3" applyFont="1" applyBorder="1" applyAlignment="1">
      <alignment horizontal="centerContinuous"/>
    </xf>
    <xf numFmtId="0" fontId="0" fillId="0" borderId="4" xfId="3" applyFont="1" applyBorder="1"/>
    <xf numFmtId="0" fontId="0" fillId="0" borderId="1" xfId="0" applyBorder="1" applyAlignment="1">
      <alignment horizontal="center"/>
    </xf>
    <xf numFmtId="1" fontId="3" fillId="0" borderId="0" xfId="3" applyNumberFormat="1" applyFont="1" applyBorder="1" applyAlignment="1" applyProtection="1">
      <alignment horizontal="center"/>
      <protection locked="0"/>
    </xf>
    <xf numFmtId="0" fontId="0" fillId="0" borderId="0" xfId="3" applyNumberFormat="1" applyFont="1" applyBorder="1" applyProtection="1"/>
    <xf numFmtId="0" fontId="7" fillId="0" borderId="0" xfId="3" applyFont="1" applyAlignment="1" applyProtection="1"/>
    <xf numFmtId="169" fontId="0" fillId="0" borderId="5" xfId="3" applyNumberFormat="1" applyFont="1" applyBorder="1" applyAlignment="1" applyProtection="1">
      <alignment horizontal="center"/>
    </xf>
    <xf numFmtId="0" fontId="5" fillId="0" borderId="0" xfId="3" applyFont="1" applyAlignment="1" applyProtection="1">
      <alignment horizontal="center"/>
    </xf>
    <xf numFmtId="0" fontId="0" fillId="0" borderId="3" xfId="3" applyFont="1" applyBorder="1" applyAlignment="1" applyProtection="1">
      <alignment horizontal="center" vertical="center"/>
    </xf>
    <xf numFmtId="0" fontId="0" fillId="0" borderId="13" xfId="3" applyFont="1" applyBorder="1" applyAlignment="1">
      <alignment horizontal="center"/>
    </xf>
    <xf numFmtId="168" fontId="0" fillId="0" borderId="0" xfId="3" applyNumberFormat="1" applyFont="1" applyBorder="1" applyProtection="1"/>
    <xf numFmtId="0" fontId="0" fillId="0" borderId="0" xfId="0" applyFont="1" applyBorder="1" applyAlignment="1">
      <alignment horizontal="center"/>
    </xf>
    <xf numFmtId="0" fontId="0" fillId="0" borderId="0" xfId="3" applyFont="1" applyBorder="1" applyAlignment="1">
      <alignment horizontal="center"/>
    </xf>
    <xf numFmtId="0" fontId="0" fillId="0" borderId="0" xfId="3" applyNumberFormat="1" applyFont="1" applyAlignment="1" applyProtection="1">
      <alignment horizontal="left"/>
    </xf>
    <xf numFmtId="184" fontId="0" fillId="0" borderId="0" xfId="0" applyNumberFormat="1" applyBorder="1" applyAlignment="1">
      <alignment horizontal="center"/>
    </xf>
    <xf numFmtId="175" fontId="0" fillId="0" borderId="6" xfId="3" applyNumberFormat="1" applyFont="1" applyBorder="1" applyAlignment="1" applyProtection="1">
      <alignment horizontal="center"/>
      <protection locked="0"/>
    </xf>
    <xf numFmtId="2" fontId="0" fillId="0" borderId="0" xfId="0" applyNumberFormat="1" applyFont="1" applyAlignment="1">
      <alignment horizontal="right"/>
    </xf>
    <xf numFmtId="0" fontId="0" fillId="0" borderId="0" xfId="3" applyFont="1" applyBorder="1" applyAlignment="1" applyProtection="1">
      <alignment horizontal="centerContinuous"/>
    </xf>
    <xf numFmtId="0" fontId="0" fillId="0" borderId="4" xfId="3" applyFont="1" applyBorder="1" applyProtection="1"/>
    <xf numFmtId="186" fontId="0" fillId="0" borderId="0" xfId="3" applyNumberFormat="1" applyFont="1" applyAlignment="1" applyProtection="1">
      <alignment horizontal="center"/>
    </xf>
    <xf numFmtId="0" fontId="0" fillId="0" borderId="3" xfId="3" applyFont="1" applyFill="1" applyBorder="1" applyAlignment="1" applyProtection="1">
      <alignment horizontal="center" vertical="center"/>
    </xf>
    <xf numFmtId="169" fontId="0" fillId="0" borderId="0" xfId="0" applyNumberFormat="1" applyFont="1" applyBorder="1"/>
    <xf numFmtId="176" fontId="0" fillId="0" borderId="0" xfId="3" applyNumberFormat="1" applyFont="1" applyBorder="1" applyAlignment="1" applyProtection="1">
      <alignment horizontal="center"/>
    </xf>
    <xf numFmtId="169" fontId="0" fillId="0" borderId="0" xfId="3" applyNumberFormat="1" applyFont="1" applyBorder="1"/>
    <xf numFmtId="169" fontId="0" fillId="0" borderId="0" xfId="0" applyNumberFormat="1" applyAlignment="1">
      <alignment horizontal="center"/>
    </xf>
    <xf numFmtId="171" fontId="0" fillId="0" borderId="0" xfId="3" applyNumberFormat="1" applyFont="1" applyAlignment="1" applyProtection="1">
      <alignment horizontal="center"/>
    </xf>
    <xf numFmtId="0" fontId="0" fillId="0" borderId="0" xfId="3" applyFont="1" applyBorder="1" applyAlignment="1"/>
    <xf numFmtId="166" fontId="0" fillId="0" borderId="9" xfId="3" applyNumberFormat="1" applyFont="1" applyBorder="1" applyAlignment="1" applyProtection="1">
      <alignment horizontal="center"/>
    </xf>
    <xf numFmtId="0" fontId="0" fillId="0" borderId="5" xfId="3" applyFont="1" applyBorder="1" applyAlignment="1" applyProtection="1">
      <alignment horizontal="center" vertical="center"/>
    </xf>
    <xf numFmtId="177" fontId="0" fillId="0" borderId="0" xfId="3" applyNumberFormat="1" applyFont="1" applyBorder="1" applyProtection="1"/>
    <xf numFmtId="192" fontId="0" fillId="0" borderId="0" xfId="3" applyNumberFormat="1" applyFont="1" applyBorder="1" applyAlignment="1" applyProtection="1">
      <alignment horizontal="centerContinuous"/>
    </xf>
    <xf numFmtId="192" fontId="0" fillId="0" borderId="2" xfId="3" applyNumberFormat="1" applyFont="1" applyBorder="1" applyAlignment="1" applyProtection="1">
      <alignment horizontal="centerContinuous"/>
    </xf>
    <xf numFmtId="0" fontId="0" fillId="0" borderId="0" xfId="3" applyFont="1" applyBorder="1" applyAlignment="1" applyProtection="1">
      <alignment horizontal="center"/>
    </xf>
    <xf numFmtId="183" fontId="0" fillId="0" borderId="0" xfId="0" applyNumberFormat="1" applyAlignment="1">
      <alignment horizontal="center"/>
    </xf>
    <xf numFmtId="1" fontId="3" fillId="0" borderId="9" xfId="3" applyNumberFormat="1" applyFont="1" applyBorder="1" applyAlignment="1" applyProtection="1">
      <alignment horizontal="center"/>
      <protection locked="0"/>
    </xf>
    <xf numFmtId="14" fontId="0" fillId="0" borderId="0" xfId="0" applyNumberFormat="1" applyFont="1"/>
    <xf numFmtId="2" fontId="0" fillId="0" borderId="0" xfId="0" applyNumberFormat="1" applyFont="1"/>
    <xf numFmtId="169" fontId="0" fillId="0" borderId="0" xfId="3" applyNumberFormat="1" applyFont="1" applyAlignment="1" applyProtection="1">
      <alignment horizontal="right"/>
    </xf>
    <xf numFmtId="197" fontId="0" fillId="0" borderId="0" xfId="3" applyNumberFormat="1" applyFont="1" applyAlignment="1" applyProtection="1">
      <alignment horizontal="center"/>
    </xf>
    <xf numFmtId="170" fontId="0" fillId="0" borderId="0" xfId="0" applyNumberFormat="1" applyAlignment="1">
      <alignment horizontal="center"/>
    </xf>
    <xf numFmtId="192" fontId="0" fillId="0" borderId="0" xfId="3" applyNumberFormat="1" applyFont="1" applyBorder="1" applyAlignment="1" applyProtection="1">
      <alignment horizontal="center"/>
    </xf>
    <xf numFmtId="181" fontId="0" fillId="0" borderId="0" xfId="3" applyNumberFormat="1" applyFont="1" applyAlignment="1" applyProtection="1">
      <alignment horizontal="center"/>
    </xf>
    <xf numFmtId="2" fontId="0" fillId="0" borderId="0" xfId="0" applyNumberFormat="1" applyBorder="1" applyAlignment="1">
      <alignment horizontal="center"/>
    </xf>
    <xf numFmtId="187" fontId="0" fillId="0" borderId="0" xfId="3" applyNumberFormat="1" applyFont="1" applyAlignment="1" applyProtection="1">
      <alignment horizontal="center"/>
    </xf>
    <xf numFmtId="175" fontId="0" fillId="0" borderId="0" xfId="3" applyNumberFormat="1" applyFont="1" applyBorder="1" applyAlignment="1" applyProtection="1">
      <alignment horizontal="center"/>
      <protection locked="0"/>
    </xf>
    <xf numFmtId="0" fontId="0" fillId="0" borderId="11" xfId="3" applyFont="1" applyBorder="1"/>
    <xf numFmtId="169" fontId="0" fillId="0" borderId="0" xfId="0" applyNumberFormat="1" applyFont="1" applyAlignment="1">
      <alignment horizontal="center"/>
    </xf>
    <xf numFmtId="0" fontId="0" fillId="0" borderId="15" xfId="3" applyFont="1" applyBorder="1" applyAlignment="1">
      <alignment horizontal="center"/>
    </xf>
    <xf numFmtId="169" fontId="0" fillId="0" borderId="0" xfId="3" applyNumberFormat="1" applyFont="1" applyAlignment="1">
      <alignment horizontal="center"/>
    </xf>
    <xf numFmtId="169" fontId="3" fillId="0" borderId="0" xfId="0" applyNumberFormat="1" applyFont="1"/>
    <xf numFmtId="0" fontId="3" fillId="0" borderId="13" xfId="3" applyNumberFormat="1" applyFont="1" applyBorder="1" applyAlignment="1" applyProtection="1">
      <alignment horizontal="center"/>
      <protection locked="0"/>
    </xf>
    <xf numFmtId="166" fontId="0" fillId="0" borderId="0" xfId="3" applyNumberFormat="1" applyFont="1" applyBorder="1" applyAlignment="1" applyProtection="1">
      <alignment horizontal="center"/>
    </xf>
    <xf numFmtId="0" fontId="0" fillId="0" borderId="13" xfId="3" applyFont="1" applyBorder="1"/>
    <xf numFmtId="0" fontId="0" fillId="0" borderId="0" xfId="0" applyFont="1" applyBorder="1"/>
    <xf numFmtId="0" fontId="3" fillId="0" borderId="0" xfId="3" applyNumberFormat="1" applyFont="1" applyBorder="1" applyAlignment="1" applyProtection="1">
      <alignment horizontal="center"/>
      <protection locked="0"/>
    </xf>
    <xf numFmtId="0" fontId="0" fillId="0" borderId="0" xfId="3" applyFont="1" applyAlignment="1">
      <alignment horizontal="right"/>
    </xf>
    <xf numFmtId="0" fontId="0" fillId="0" borderId="12" xfId="3" applyFont="1" applyBorder="1" applyAlignment="1" applyProtection="1">
      <alignment horizontal="center"/>
    </xf>
    <xf numFmtId="0" fontId="0" fillId="0" borderId="0" xfId="3" applyFont="1" applyBorder="1"/>
    <xf numFmtId="0" fontId="0" fillId="0" borderId="8" xfId="3" applyFont="1" applyBorder="1" applyAlignment="1" applyProtection="1">
      <alignment horizontal="centerContinuous" vertical="center"/>
    </xf>
    <xf numFmtId="1" fontId="0" fillId="0" borderId="0" xfId="3" applyNumberFormat="1" applyFont="1" applyBorder="1" applyProtection="1"/>
    <xf numFmtId="0" fontId="0" fillId="2" borderId="0" xfId="0" applyFill="1" applyBorder="1" applyAlignment="1">
      <alignment vertical="center"/>
    </xf>
    <xf numFmtId="0" fontId="0" fillId="0" borderId="11" xfId="3" applyFont="1" applyBorder="1" applyProtection="1"/>
    <xf numFmtId="0" fontId="0" fillId="0" borderId="15" xfId="3" applyFont="1" applyBorder="1" applyAlignment="1" applyProtection="1">
      <alignment horizontal="center"/>
    </xf>
    <xf numFmtId="169" fontId="0" fillId="0" borderId="0" xfId="3" applyNumberFormat="1" applyFont="1" applyAlignment="1" applyProtection="1">
      <alignment horizontal="center"/>
    </xf>
    <xf numFmtId="0" fontId="5" fillId="0" borderId="0" xfId="3" applyFont="1" applyBorder="1" applyAlignment="1">
      <alignment horizontal="centerContinuous"/>
    </xf>
    <xf numFmtId="0" fontId="0" fillId="0" borderId="0" xfId="3" applyFont="1" applyAlignment="1" applyProtection="1">
      <alignment horizontal="right"/>
    </xf>
    <xf numFmtId="0" fontId="0" fillId="0" borderId="0" xfId="3" applyFont="1" applyBorder="1" applyProtection="1"/>
    <xf numFmtId="174" fontId="0" fillId="0" borderId="0" xfId="3" applyNumberFormat="1" applyFont="1" applyBorder="1" applyAlignment="1" applyProtection="1">
      <alignment horizontal="center"/>
    </xf>
    <xf numFmtId="179" fontId="0" fillId="0" borderId="0" xfId="3" applyNumberFormat="1" applyFont="1" applyBorder="1" applyAlignment="1" applyProtection="1">
      <alignment horizontal="center"/>
    </xf>
    <xf numFmtId="1" fontId="3" fillId="0" borderId="6" xfId="3" applyNumberFormat="1" applyFont="1" applyBorder="1" applyAlignment="1" applyProtection="1">
      <alignment horizontal="center"/>
      <protection locked="0"/>
    </xf>
    <xf numFmtId="0" fontId="0" fillId="0" borderId="0" xfId="3" applyFont="1" applyAlignment="1">
      <alignment horizontal="centerContinuous"/>
    </xf>
    <xf numFmtId="0" fontId="0" fillId="0" borderId="0" xfId="3" applyFont="1" applyAlignment="1" applyProtection="1">
      <alignment horizontal="left"/>
    </xf>
    <xf numFmtId="1" fontId="0" fillId="0" borderId="0" xfId="0" quotePrefix="1" applyNumberFormat="1" applyFont="1" applyAlignment="1">
      <alignment horizontal="right"/>
    </xf>
    <xf numFmtId="169" fontId="3" fillId="0" borderId="10" xfId="3" applyNumberFormat="1" applyFont="1" applyBorder="1" applyProtection="1">
      <protection locked="0"/>
    </xf>
    <xf numFmtId="188" fontId="0" fillId="0" borderId="0" xfId="3" applyNumberFormat="1" applyFont="1" applyAlignment="1" applyProtection="1">
      <alignment horizontal="center"/>
    </xf>
    <xf numFmtId="168" fontId="0" fillId="0" borderId="0" xfId="0" applyNumberFormat="1" applyBorder="1" applyAlignment="1">
      <alignment horizontal="center"/>
    </xf>
    <xf numFmtId="196" fontId="0" fillId="0" borderId="0" xfId="3" applyNumberFormat="1" applyFont="1" applyAlignment="1" applyProtection="1">
      <alignment horizontal="center"/>
    </xf>
    <xf numFmtId="0" fontId="0" fillId="0" borderId="1" xfId="3" applyFont="1" applyBorder="1" applyAlignment="1" applyProtection="1">
      <alignment horizontal="center" vertical="center"/>
    </xf>
    <xf numFmtId="191" fontId="0" fillId="0" borderId="0" xfId="0" applyNumberFormat="1" applyAlignment="1">
      <alignment horizontal="left"/>
    </xf>
    <xf numFmtId="0" fontId="0" fillId="0" borderId="0" xfId="3" applyNumberFormat="1" applyFont="1" applyProtection="1"/>
    <xf numFmtId="0" fontId="7" fillId="0" borderId="0" xfId="3" applyFont="1" applyAlignment="1" applyProtection="1">
      <alignment horizontal="center"/>
    </xf>
    <xf numFmtId="192" fontId="0" fillId="0" borderId="11" xfId="3" applyNumberFormat="1" applyFont="1" applyBorder="1" applyAlignment="1" applyProtection="1">
      <alignment horizontal="center"/>
    </xf>
    <xf numFmtId="192" fontId="0" fillId="0" borderId="10" xfId="3" applyNumberFormat="1" applyFont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2" fontId="0" fillId="0" borderId="2" xfId="3" applyNumberFormat="1" applyFont="1" applyBorder="1" applyAlignment="1" applyProtection="1">
      <alignment horizontal="center"/>
    </xf>
    <xf numFmtId="2" fontId="0" fillId="0" borderId="12" xfId="3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</cellXfs>
  <cellStyles count="4">
    <cellStyle name="Normal" xfId="0" builtinId="0"/>
    <cellStyle name="Normal 2" xfId="1"/>
    <cellStyle name="Normal_Core Data H-3258" xfId="2"/>
    <cellStyle name="Normal_HG-DATA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492957746478872"/>
          <c:y val="7.0234113712374549E-2"/>
          <c:w val="0.76760563380283331"/>
          <c:h val="0.81605351170568552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Table!$B$18:$B$136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6.4724919093851142E-5</c:v>
                </c:pt>
                <c:pt idx="33">
                  <c:v>4.5307443365695792E-4</c:v>
                </c:pt>
                <c:pt idx="34">
                  <c:v>4.5307443365695792E-4</c:v>
                </c:pt>
                <c:pt idx="35">
                  <c:v>4.5307443365695792E-4</c:v>
                </c:pt>
                <c:pt idx="36">
                  <c:v>4.5307443365695792E-4</c:v>
                </c:pt>
                <c:pt idx="37">
                  <c:v>4.5307443365695792E-4</c:v>
                </c:pt>
                <c:pt idx="38">
                  <c:v>4.5307443365695792E-4</c:v>
                </c:pt>
                <c:pt idx="39">
                  <c:v>5.8252427184466023E-4</c:v>
                </c:pt>
                <c:pt idx="40">
                  <c:v>9.0614886731391585E-4</c:v>
                </c:pt>
                <c:pt idx="41">
                  <c:v>1.2297734627831716E-3</c:v>
                </c:pt>
                <c:pt idx="42">
                  <c:v>1.9417475728155341E-3</c:v>
                </c:pt>
                <c:pt idx="43">
                  <c:v>3.1715210355987055E-3</c:v>
                </c:pt>
                <c:pt idx="44">
                  <c:v>5.0485436893203881E-3</c:v>
                </c:pt>
                <c:pt idx="45">
                  <c:v>8.4142394822006479E-3</c:v>
                </c:pt>
                <c:pt idx="46">
                  <c:v>1.4045307443365697E-2</c:v>
                </c:pt>
                <c:pt idx="47">
                  <c:v>2.608414239482201E-2</c:v>
                </c:pt>
                <c:pt idx="48">
                  <c:v>5.2362459546925567E-2</c:v>
                </c:pt>
                <c:pt idx="49">
                  <c:v>9.5533980582524283E-2</c:v>
                </c:pt>
                <c:pt idx="50">
                  <c:v>0.16278317152103561</c:v>
                </c:pt>
                <c:pt idx="51">
                  <c:v>0.2420064724919094</c:v>
                </c:pt>
                <c:pt idx="52">
                  <c:v>0.3264724919093851</c:v>
                </c:pt>
                <c:pt idx="53">
                  <c:v>0.38090614886731394</c:v>
                </c:pt>
                <c:pt idx="54">
                  <c:v>0.41139158576051787</c:v>
                </c:pt>
                <c:pt idx="55">
                  <c:v>0.43825242718446605</c:v>
                </c:pt>
                <c:pt idx="56">
                  <c:v>0.46304207119741103</c:v>
                </c:pt>
                <c:pt idx="57">
                  <c:v>0.48491909385113269</c:v>
                </c:pt>
                <c:pt idx="58">
                  <c:v>0.50466019417475727</c:v>
                </c:pt>
                <c:pt idx="59">
                  <c:v>0.5234304207119741</c:v>
                </c:pt>
                <c:pt idx="60">
                  <c:v>0.54077669902912628</c:v>
                </c:pt>
                <c:pt idx="61">
                  <c:v>0.55728155339805829</c:v>
                </c:pt>
                <c:pt idx="62">
                  <c:v>0.57326860841423954</c:v>
                </c:pt>
                <c:pt idx="63">
                  <c:v>0.58873786407766993</c:v>
                </c:pt>
                <c:pt idx="64">
                  <c:v>0.60375404530744337</c:v>
                </c:pt>
                <c:pt idx="65">
                  <c:v>0.61805825242718448</c:v>
                </c:pt>
                <c:pt idx="66">
                  <c:v>0.63255663430420717</c:v>
                </c:pt>
                <c:pt idx="67">
                  <c:v>0.64640776699029134</c:v>
                </c:pt>
                <c:pt idx="68">
                  <c:v>0.66019417475728159</c:v>
                </c:pt>
                <c:pt idx="69">
                  <c:v>0.67339805825242716</c:v>
                </c:pt>
                <c:pt idx="70">
                  <c:v>0.68660194174757283</c:v>
                </c:pt>
                <c:pt idx="71">
                  <c:v>0.69915857605178</c:v>
                </c:pt>
                <c:pt idx="72">
                  <c:v>0.71158576051779932</c:v>
                </c:pt>
                <c:pt idx="73">
                  <c:v>0.72310679611650486</c:v>
                </c:pt>
                <c:pt idx="74">
                  <c:v>0.7349514563106796</c:v>
                </c:pt>
                <c:pt idx="75">
                  <c:v>0.74660194174757288</c:v>
                </c:pt>
                <c:pt idx="76">
                  <c:v>0.75799352750809068</c:v>
                </c:pt>
                <c:pt idx="77">
                  <c:v>0.76880258899676379</c:v>
                </c:pt>
                <c:pt idx="78">
                  <c:v>0.77902912621359222</c:v>
                </c:pt>
                <c:pt idx="79">
                  <c:v>0.78957928802588995</c:v>
                </c:pt>
                <c:pt idx="80">
                  <c:v>0.79948220064724929</c:v>
                </c:pt>
                <c:pt idx="81">
                  <c:v>0.80886731391585764</c:v>
                </c:pt>
                <c:pt idx="82">
                  <c:v>0.81851132686084138</c:v>
                </c:pt>
                <c:pt idx="83">
                  <c:v>0.82770226537216829</c:v>
                </c:pt>
                <c:pt idx="84">
                  <c:v>0.83663430420711971</c:v>
                </c:pt>
                <c:pt idx="85">
                  <c:v>0.84582524271844661</c:v>
                </c:pt>
                <c:pt idx="86">
                  <c:v>0.85436893203883502</c:v>
                </c:pt>
                <c:pt idx="87">
                  <c:v>0.86284789644012949</c:v>
                </c:pt>
                <c:pt idx="88">
                  <c:v>0.87119741100323633</c:v>
                </c:pt>
                <c:pt idx="89">
                  <c:v>0.87967637540453081</c:v>
                </c:pt>
                <c:pt idx="90">
                  <c:v>0.88776699029126216</c:v>
                </c:pt>
                <c:pt idx="91">
                  <c:v>0.89579288025889969</c:v>
                </c:pt>
                <c:pt idx="92">
                  <c:v>0.90330097087378647</c:v>
                </c:pt>
                <c:pt idx="93">
                  <c:v>0.91106796116504851</c:v>
                </c:pt>
                <c:pt idx="94">
                  <c:v>0.91838187702265384</c:v>
                </c:pt>
                <c:pt idx="95">
                  <c:v>0.925242718446602</c:v>
                </c:pt>
                <c:pt idx="96">
                  <c:v>0.9319093851132686</c:v>
                </c:pt>
                <c:pt idx="97">
                  <c:v>0.93864077669902912</c:v>
                </c:pt>
                <c:pt idx="98">
                  <c:v>0.94407766990291264</c:v>
                </c:pt>
                <c:pt idx="99">
                  <c:v>0.94970873786407772</c:v>
                </c:pt>
                <c:pt idx="100">
                  <c:v>0.9550161812297735</c:v>
                </c:pt>
                <c:pt idx="101">
                  <c:v>0.95974110032362459</c:v>
                </c:pt>
                <c:pt idx="102">
                  <c:v>0.9645307443365696</c:v>
                </c:pt>
                <c:pt idx="103">
                  <c:v>0.96906148867313924</c:v>
                </c:pt>
                <c:pt idx="104">
                  <c:v>0.97326860841423957</c:v>
                </c:pt>
                <c:pt idx="105">
                  <c:v>0.97715210355987059</c:v>
                </c:pt>
                <c:pt idx="106">
                  <c:v>0.98058252427184467</c:v>
                </c:pt>
                <c:pt idx="107">
                  <c:v>0.98446601941747569</c:v>
                </c:pt>
                <c:pt idx="108">
                  <c:v>0.9876375404530745</c:v>
                </c:pt>
                <c:pt idx="109">
                  <c:v>0.98996763754045314</c:v>
                </c:pt>
                <c:pt idx="110">
                  <c:v>0.99236245954692559</c:v>
                </c:pt>
                <c:pt idx="111">
                  <c:v>0.99411003236245965</c:v>
                </c:pt>
                <c:pt idx="112">
                  <c:v>0.99566343042071204</c:v>
                </c:pt>
                <c:pt idx="113">
                  <c:v>0.99702265372168286</c:v>
                </c:pt>
                <c:pt idx="114">
                  <c:v>0.99799352750809067</c:v>
                </c:pt>
                <c:pt idx="115">
                  <c:v>0.99883495145631063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Table!$A$18:$A$136</c:f>
              <c:numCache>
                <c:formatCode>????0.00</c:formatCode>
                <c:ptCount val="119"/>
                <c:pt idx="0">
                  <c:v>1.5079505443572998</c:v>
                </c:pt>
                <c:pt idx="1">
                  <c:v>1.5989933013916016</c:v>
                </c:pt>
                <c:pt idx="2">
                  <c:v>1.8068345785140991</c:v>
                </c:pt>
                <c:pt idx="3">
                  <c:v>2.0094594955444336</c:v>
                </c:pt>
                <c:pt idx="4">
                  <c:v>2.1648108959197998</c:v>
                </c:pt>
                <c:pt idx="5">
                  <c:v>2.3579812049865723</c:v>
                </c:pt>
                <c:pt idx="6">
                  <c:v>2.5763368606567383</c:v>
                </c:pt>
                <c:pt idx="7">
                  <c:v>2.8118090629577637</c:v>
                </c:pt>
                <c:pt idx="8">
                  <c:v>3.0808615684509277</c:v>
                </c:pt>
                <c:pt idx="9">
                  <c:v>3.3865108489990234</c:v>
                </c:pt>
                <c:pt idx="10">
                  <c:v>3.6919970512390137</c:v>
                </c:pt>
                <c:pt idx="11">
                  <c:v>4.0388069152832031</c:v>
                </c:pt>
                <c:pt idx="12">
                  <c:v>4.4196047782897949</c:v>
                </c:pt>
                <c:pt idx="13">
                  <c:v>4.8204536437988281</c:v>
                </c:pt>
                <c:pt idx="14">
                  <c:v>5.2622184753417969</c:v>
                </c:pt>
                <c:pt idx="15">
                  <c:v>5.763972282409668</c:v>
                </c:pt>
                <c:pt idx="16">
                  <c:v>6.3053379058837891</c:v>
                </c:pt>
                <c:pt idx="17">
                  <c:v>6.8938956260681152</c:v>
                </c:pt>
                <c:pt idx="18">
                  <c:v>7.542360782623291</c:v>
                </c:pt>
                <c:pt idx="19">
                  <c:v>8.2497549057006836</c:v>
                </c:pt>
                <c:pt idx="20">
                  <c:v>9.0262670516967773</c:v>
                </c:pt>
                <c:pt idx="21">
                  <c:v>9.8776836395263672</c:v>
                </c:pt>
                <c:pt idx="22">
                  <c:v>10.782322883605957</c:v>
                </c:pt>
                <c:pt idx="23">
                  <c:v>11.883312225341797</c:v>
                </c:pt>
                <c:pt idx="24">
                  <c:v>12.884048461914062</c:v>
                </c:pt>
                <c:pt idx="25">
                  <c:v>14.184564590454102</c:v>
                </c:pt>
                <c:pt idx="26">
                  <c:v>15.478479385375977</c:v>
                </c:pt>
                <c:pt idx="27">
                  <c:v>16.87272834777832</c:v>
                </c:pt>
                <c:pt idx="28">
                  <c:v>18.472209930419922</c:v>
                </c:pt>
                <c:pt idx="29">
                  <c:v>20.266654968261719</c:v>
                </c:pt>
                <c:pt idx="30">
                  <c:v>22.155405044555664</c:v>
                </c:pt>
                <c:pt idx="31">
                  <c:v>24.306196212768555</c:v>
                </c:pt>
                <c:pt idx="32">
                  <c:v>26.600929260253906</c:v>
                </c:pt>
                <c:pt idx="33">
                  <c:v>28.999906539916992</c:v>
                </c:pt>
                <c:pt idx="34">
                  <c:v>31.355197906494141</c:v>
                </c:pt>
                <c:pt idx="35">
                  <c:v>33.925983428955078</c:v>
                </c:pt>
                <c:pt idx="36">
                  <c:v>37.120223999023438</c:v>
                </c:pt>
                <c:pt idx="37">
                  <c:v>41.669708251953125</c:v>
                </c:pt>
                <c:pt idx="38">
                  <c:v>44.641792297363281</c:v>
                </c:pt>
                <c:pt idx="39">
                  <c:v>49.825927734375</c:v>
                </c:pt>
                <c:pt idx="40">
                  <c:v>54.188117980957031</c:v>
                </c:pt>
                <c:pt idx="41">
                  <c:v>59.015975952148438</c:v>
                </c:pt>
                <c:pt idx="42">
                  <c:v>64.038360595703125</c:v>
                </c:pt>
                <c:pt idx="43">
                  <c:v>70.489471435546875</c:v>
                </c:pt>
                <c:pt idx="44">
                  <c:v>76.763862609863281</c:v>
                </c:pt>
                <c:pt idx="45">
                  <c:v>84.832046508789063</c:v>
                </c:pt>
                <c:pt idx="46">
                  <c:v>91.871368408203125</c:v>
                </c:pt>
                <c:pt idx="47">
                  <c:v>102.19837188720703</c:v>
                </c:pt>
                <c:pt idx="48">
                  <c:v>111.03816986083984</c:v>
                </c:pt>
                <c:pt idx="49">
                  <c:v>120.67512512207031</c:v>
                </c:pt>
                <c:pt idx="50">
                  <c:v>132.84747314453125</c:v>
                </c:pt>
                <c:pt idx="51">
                  <c:v>144.93611145019531</c:v>
                </c:pt>
                <c:pt idx="52">
                  <c:v>158.12440490722656</c:v>
                </c:pt>
                <c:pt idx="53">
                  <c:v>174.06202697753906</c:v>
                </c:pt>
                <c:pt idx="54">
                  <c:v>190.40737915039062</c:v>
                </c:pt>
                <c:pt idx="55">
                  <c:v>208.59934997558594</c:v>
                </c:pt>
                <c:pt idx="56">
                  <c:v>228.20649719238281</c:v>
                </c:pt>
                <c:pt idx="57">
                  <c:v>250.36659240722656</c:v>
                </c:pt>
                <c:pt idx="58">
                  <c:v>272.64837646484375</c:v>
                </c:pt>
                <c:pt idx="59">
                  <c:v>299.10467529296875</c:v>
                </c:pt>
                <c:pt idx="60">
                  <c:v>326.82269287109375</c:v>
                </c:pt>
                <c:pt idx="61">
                  <c:v>357.80282592773437</c:v>
                </c:pt>
                <c:pt idx="62">
                  <c:v>391.48748779296875</c:v>
                </c:pt>
                <c:pt idx="63">
                  <c:v>428.63864135742187</c:v>
                </c:pt>
                <c:pt idx="64">
                  <c:v>467.975830078125</c:v>
                </c:pt>
                <c:pt idx="65">
                  <c:v>512.58026123046875</c:v>
                </c:pt>
                <c:pt idx="66">
                  <c:v>562.6224365234375</c:v>
                </c:pt>
                <c:pt idx="67">
                  <c:v>613.44879150390625</c:v>
                </c:pt>
                <c:pt idx="68">
                  <c:v>671.74920654296875</c:v>
                </c:pt>
                <c:pt idx="69">
                  <c:v>733.86187744140625</c:v>
                </c:pt>
                <c:pt idx="70">
                  <c:v>803.56866455078125</c:v>
                </c:pt>
                <c:pt idx="71">
                  <c:v>879.83209228515625</c:v>
                </c:pt>
                <c:pt idx="72">
                  <c:v>962.81219482421875</c:v>
                </c:pt>
                <c:pt idx="73">
                  <c:v>1049.2786865234375</c:v>
                </c:pt>
                <c:pt idx="74">
                  <c:v>1147.34423828125</c:v>
                </c:pt>
                <c:pt idx="75">
                  <c:v>1258.3243408203125</c:v>
                </c:pt>
                <c:pt idx="76">
                  <c:v>1378.476806640625</c:v>
                </c:pt>
                <c:pt idx="77">
                  <c:v>1509.9443359375</c:v>
                </c:pt>
                <c:pt idx="78">
                  <c:v>1649.330322265625</c:v>
                </c:pt>
                <c:pt idx="79">
                  <c:v>1811.697021484375</c:v>
                </c:pt>
                <c:pt idx="80">
                  <c:v>1978.39794921875</c:v>
                </c:pt>
                <c:pt idx="81">
                  <c:v>2158.043212890625</c:v>
                </c:pt>
                <c:pt idx="82">
                  <c:v>2368.145751953125</c:v>
                </c:pt>
                <c:pt idx="83">
                  <c:v>2588.4326171875</c:v>
                </c:pt>
                <c:pt idx="84">
                  <c:v>2827.96240234375</c:v>
                </c:pt>
                <c:pt idx="85">
                  <c:v>3098.44970703125</c:v>
                </c:pt>
                <c:pt idx="86">
                  <c:v>3388.340087890625</c:v>
                </c:pt>
                <c:pt idx="87">
                  <c:v>3709.292724609375</c:v>
                </c:pt>
                <c:pt idx="88">
                  <c:v>4057.572509765625</c:v>
                </c:pt>
                <c:pt idx="89">
                  <c:v>4435.63671875</c:v>
                </c:pt>
                <c:pt idx="90">
                  <c:v>4846.0087890625</c:v>
                </c:pt>
                <c:pt idx="91">
                  <c:v>5306.11669921875</c:v>
                </c:pt>
                <c:pt idx="92">
                  <c:v>5807.13818359375</c:v>
                </c:pt>
                <c:pt idx="93">
                  <c:v>6355.36279296875</c:v>
                </c:pt>
                <c:pt idx="94">
                  <c:v>6945.88232421875</c:v>
                </c:pt>
                <c:pt idx="95">
                  <c:v>7606.41748046875</c:v>
                </c:pt>
                <c:pt idx="96">
                  <c:v>8315.8310546875</c:v>
                </c:pt>
                <c:pt idx="97">
                  <c:v>9096.13671875</c:v>
                </c:pt>
                <c:pt idx="98">
                  <c:v>9956.1669921875</c:v>
                </c:pt>
                <c:pt idx="99">
                  <c:v>10896.220703125</c:v>
                </c:pt>
                <c:pt idx="100">
                  <c:v>11895.4716796875</c:v>
                </c:pt>
                <c:pt idx="101">
                  <c:v>12996.0126953125</c:v>
                </c:pt>
                <c:pt idx="102">
                  <c:v>14293.4814453125</c:v>
                </c:pt>
                <c:pt idx="103">
                  <c:v>15595.234375</c:v>
                </c:pt>
                <c:pt idx="104">
                  <c:v>17094.541015625</c:v>
                </c:pt>
                <c:pt idx="105">
                  <c:v>18694.4296875</c:v>
                </c:pt>
                <c:pt idx="106">
                  <c:v>20394.126953125</c:v>
                </c:pt>
                <c:pt idx="107">
                  <c:v>22295.181640625</c:v>
                </c:pt>
                <c:pt idx="108">
                  <c:v>24395.56640625</c:v>
                </c:pt>
                <c:pt idx="109">
                  <c:v>26696.28125</c:v>
                </c:pt>
                <c:pt idx="110">
                  <c:v>29295.875</c:v>
                </c:pt>
                <c:pt idx="111">
                  <c:v>31993.05859375</c:v>
                </c:pt>
                <c:pt idx="112">
                  <c:v>34988.01171875</c:v>
                </c:pt>
                <c:pt idx="113">
                  <c:v>38288.109375</c:v>
                </c:pt>
                <c:pt idx="114">
                  <c:v>41879.390625</c:v>
                </c:pt>
                <c:pt idx="115">
                  <c:v>45776.18359375</c:v>
                </c:pt>
                <c:pt idx="116">
                  <c:v>50071.6796875</c:v>
                </c:pt>
                <c:pt idx="117">
                  <c:v>54767.33984375</c:v>
                </c:pt>
                <c:pt idx="118">
                  <c:v>59445.21875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988032"/>
        <c:axId val="170522496"/>
      </c:scatterChart>
      <c:valAx>
        <c:axId val="168988032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169014084507044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170522496"/>
        <c:crossesAt val="1.0000000000000041E-3"/>
        <c:crossBetween val="midCat"/>
        <c:majorUnit val="0.2"/>
        <c:minorUnit val="0.1"/>
      </c:valAx>
      <c:valAx>
        <c:axId val="170522496"/>
        <c:scaling>
          <c:logBase val="10"/>
          <c:orientation val="minMax"/>
          <c:max val="100000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Injection Pressure, psi.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3377926421404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168988032"/>
        <c:crosses val="max"/>
        <c:crossBetween val="midCat"/>
        <c:majorUnit val="10"/>
        <c:minorUnit val="10"/>
      </c:valAx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chemeClr val="dk1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4041119369915644"/>
          <c:y val="5.3511705685618735E-2"/>
          <c:w val="0.71747821581027194"/>
          <c:h val="0.81040704360115523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660066"/>
              </a:solidFill>
            </a:ln>
          </c:spPr>
          <c:marker>
            <c:symbol val="circle"/>
            <c:size val="5"/>
            <c:spPr>
              <a:solidFill>
                <a:srgbClr val="660066"/>
              </a:solidFill>
              <a:ln>
                <a:solidFill>
                  <a:srgbClr val="660066"/>
                </a:solidFill>
              </a:ln>
            </c:spPr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0.99993527508090618</c:v>
                </c:pt>
                <c:pt idx="33">
                  <c:v>0.99954692556634306</c:v>
                </c:pt>
                <c:pt idx="34">
                  <c:v>0.99954692556634306</c:v>
                </c:pt>
                <c:pt idx="35">
                  <c:v>0.99954692556634306</c:v>
                </c:pt>
                <c:pt idx="36">
                  <c:v>0.99954692556634306</c:v>
                </c:pt>
                <c:pt idx="37">
                  <c:v>0.99954692556634306</c:v>
                </c:pt>
                <c:pt idx="38">
                  <c:v>0.99954692556634306</c:v>
                </c:pt>
                <c:pt idx="39">
                  <c:v>0.99941747572815531</c:v>
                </c:pt>
                <c:pt idx="40">
                  <c:v>0.99909385113268612</c:v>
                </c:pt>
                <c:pt idx="41">
                  <c:v>0.99877022653721681</c:v>
                </c:pt>
                <c:pt idx="42">
                  <c:v>0.99805825242718449</c:v>
                </c:pt>
                <c:pt idx="43">
                  <c:v>0.9968284789644013</c:v>
                </c:pt>
                <c:pt idx="44">
                  <c:v>0.99495145631067961</c:v>
                </c:pt>
                <c:pt idx="45">
                  <c:v>0.99158576051779934</c:v>
                </c:pt>
                <c:pt idx="46">
                  <c:v>0.98595469255663426</c:v>
                </c:pt>
                <c:pt idx="47">
                  <c:v>0.97391585760517796</c:v>
                </c:pt>
                <c:pt idx="48">
                  <c:v>0.94763754045307447</c:v>
                </c:pt>
                <c:pt idx="49">
                  <c:v>0.90446601941747573</c:v>
                </c:pt>
                <c:pt idx="50">
                  <c:v>0.83721682847896439</c:v>
                </c:pt>
                <c:pt idx="51">
                  <c:v>0.75799352750809057</c:v>
                </c:pt>
                <c:pt idx="52">
                  <c:v>0.6735275080906149</c:v>
                </c:pt>
                <c:pt idx="53">
                  <c:v>0.619093851132686</c:v>
                </c:pt>
                <c:pt idx="54">
                  <c:v>0.58860841423948207</c:v>
                </c:pt>
                <c:pt idx="55">
                  <c:v>0.56174757281553389</c:v>
                </c:pt>
                <c:pt idx="56">
                  <c:v>0.53695792880258897</c:v>
                </c:pt>
                <c:pt idx="57">
                  <c:v>0.51508090614886726</c:v>
                </c:pt>
                <c:pt idx="58">
                  <c:v>0.49533980582524273</c:v>
                </c:pt>
                <c:pt idx="59">
                  <c:v>0.4765695792880259</c:v>
                </c:pt>
                <c:pt idx="60">
                  <c:v>0.45922330097087372</c:v>
                </c:pt>
                <c:pt idx="61">
                  <c:v>0.44271844660194171</c:v>
                </c:pt>
                <c:pt idx="62">
                  <c:v>0.42673139158576046</c:v>
                </c:pt>
                <c:pt idx="63">
                  <c:v>0.41126213592233007</c:v>
                </c:pt>
                <c:pt idx="64">
                  <c:v>0.39624595469255663</c:v>
                </c:pt>
                <c:pt idx="65">
                  <c:v>0.38194174757281552</c:v>
                </c:pt>
                <c:pt idx="66">
                  <c:v>0.36744336569579283</c:v>
                </c:pt>
                <c:pt idx="67">
                  <c:v>0.35359223300970866</c:v>
                </c:pt>
                <c:pt idx="68">
                  <c:v>0.33980582524271841</c:v>
                </c:pt>
                <c:pt idx="69">
                  <c:v>0.32660194174757284</c:v>
                </c:pt>
                <c:pt idx="70">
                  <c:v>0.31339805825242717</c:v>
                </c:pt>
                <c:pt idx="71">
                  <c:v>0.30084142394822</c:v>
                </c:pt>
                <c:pt idx="72">
                  <c:v>0.28841423948220068</c:v>
                </c:pt>
                <c:pt idx="73">
                  <c:v>0.27689320388349514</c:v>
                </c:pt>
                <c:pt idx="74">
                  <c:v>0.2650485436893204</c:v>
                </c:pt>
                <c:pt idx="75">
                  <c:v>0.25339805825242712</c:v>
                </c:pt>
                <c:pt idx="76">
                  <c:v>0.24200647249190932</c:v>
                </c:pt>
                <c:pt idx="77">
                  <c:v>0.23119741100323621</c:v>
                </c:pt>
                <c:pt idx="78">
                  <c:v>0.22097087378640778</c:v>
                </c:pt>
                <c:pt idx="79">
                  <c:v>0.21042071197411005</c:v>
                </c:pt>
                <c:pt idx="80">
                  <c:v>0.20051779935275071</c:v>
                </c:pt>
                <c:pt idx="81">
                  <c:v>0.19113268608414236</c:v>
                </c:pt>
                <c:pt idx="82">
                  <c:v>0.18148867313915862</c:v>
                </c:pt>
                <c:pt idx="83">
                  <c:v>0.17229773462783171</c:v>
                </c:pt>
                <c:pt idx="84">
                  <c:v>0.16336569579288029</c:v>
                </c:pt>
                <c:pt idx="85">
                  <c:v>0.15417475728155339</c:v>
                </c:pt>
                <c:pt idx="86">
                  <c:v>0.14563106796116498</c:v>
                </c:pt>
                <c:pt idx="87">
                  <c:v>0.13715210355987051</c:v>
                </c:pt>
                <c:pt idx="88">
                  <c:v>0.12880258899676367</c:v>
                </c:pt>
                <c:pt idx="89">
                  <c:v>0.12032362459546919</c:v>
                </c:pt>
                <c:pt idx="90">
                  <c:v>0.11223300970873784</c:v>
                </c:pt>
                <c:pt idx="91">
                  <c:v>0.10420711974110031</c:v>
                </c:pt>
                <c:pt idx="92">
                  <c:v>9.6699029126213532E-2</c:v>
                </c:pt>
                <c:pt idx="93">
                  <c:v>8.8932038834951488E-2</c:v>
                </c:pt>
                <c:pt idx="94">
                  <c:v>8.1618122977346164E-2</c:v>
                </c:pt>
                <c:pt idx="95">
                  <c:v>7.4757281553398003E-2</c:v>
                </c:pt>
                <c:pt idx="96">
                  <c:v>6.8090614886731404E-2</c:v>
                </c:pt>
                <c:pt idx="97">
                  <c:v>6.1359223300970878E-2</c:v>
                </c:pt>
                <c:pt idx="98">
                  <c:v>5.5922330097087358E-2</c:v>
                </c:pt>
                <c:pt idx="99">
                  <c:v>5.0291262135922277E-2</c:v>
                </c:pt>
                <c:pt idx="100">
                  <c:v>4.4983818770226502E-2</c:v>
                </c:pt>
                <c:pt idx="101">
                  <c:v>4.0258899676375415E-2</c:v>
                </c:pt>
                <c:pt idx="102">
                  <c:v>3.5469255663430399E-2</c:v>
                </c:pt>
                <c:pt idx="103">
                  <c:v>3.0938511326860763E-2</c:v>
                </c:pt>
                <c:pt idx="104">
                  <c:v>2.6731391585760433E-2</c:v>
                </c:pt>
                <c:pt idx="105">
                  <c:v>2.2847896440129412E-2</c:v>
                </c:pt>
                <c:pt idx="106">
                  <c:v>1.9417475728155331E-2</c:v>
                </c:pt>
                <c:pt idx="107">
                  <c:v>1.5533980582524309E-2</c:v>
                </c:pt>
                <c:pt idx="108">
                  <c:v>1.2362459546925497E-2</c:v>
                </c:pt>
                <c:pt idx="109">
                  <c:v>1.0032362459546862E-2</c:v>
                </c:pt>
                <c:pt idx="110">
                  <c:v>7.6375404530744095E-3</c:v>
                </c:pt>
                <c:pt idx="111">
                  <c:v>5.8899676375403498E-3</c:v>
                </c:pt>
                <c:pt idx="112">
                  <c:v>4.3365695792879633E-3</c:v>
                </c:pt>
                <c:pt idx="113">
                  <c:v>2.9773462783171389E-3</c:v>
                </c:pt>
                <c:pt idx="114">
                  <c:v>2.006472491909328E-3</c:v>
                </c:pt>
                <c:pt idx="115">
                  <c:v>1.1650485436893732E-3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Table!$L$18:$L$136</c:f>
              <c:numCache>
                <c:formatCode>????0.00</c:formatCode>
                <c:ptCount val="119"/>
                <c:pt idx="0">
                  <c:v>0.33859138435229819</c:v>
                </c:pt>
                <c:pt idx="1">
                  <c:v>0.35903389372692268</c:v>
                </c:pt>
                <c:pt idx="2">
                  <c:v>0.40570204608098392</c:v>
                </c:pt>
                <c:pt idx="3">
                  <c:v>0.4511989301918693</c:v>
                </c:pt>
                <c:pt idx="4">
                  <c:v>0.48608113896920169</c:v>
                </c:pt>
                <c:pt idx="5">
                  <c:v>0.5294551094269373</c:v>
                </c:pt>
                <c:pt idx="6">
                  <c:v>0.57848413362880602</c:v>
                </c:pt>
                <c:pt idx="7">
                  <c:v>0.63135646372738341</c:v>
                </c:pt>
                <c:pt idx="8">
                  <c:v>0.691768829795537</c:v>
                </c:pt>
                <c:pt idx="9">
                  <c:v>0.76039854276213303</c:v>
                </c:pt>
                <c:pt idx="10">
                  <c:v>0.82899163853971991</c:v>
                </c:pt>
                <c:pt idx="11">
                  <c:v>0.90686344435799537</c:v>
                </c:pt>
                <c:pt idx="12">
                  <c:v>0.99236682911837004</c:v>
                </c:pt>
                <c:pt idx="13">
                  <c:v>1.0823724150420109</c:v>
                </c:pt>
                <c:pt idx="14">
                  <c:v>1.1815651680338173</c:v>
                </c:pt>
                <c:pt idx="15">
                  <c:v>1.2942276931908041</c:v>
                </c:pt>
                <c:pt idx="16">
                  <c:v>1.4157845549716872</c:v>
                </c:pt>
                <c:pt idx="17">
                  <c:v>1.5479378102585697</c:v>
                </c:pt>
                <c:pt idx="18">
                  <c:v>1.6935425291161279</c:v>
                </c:pt>
                <c:pt idx="19">
                  <c:v>1.8523790084103071</c:v>
                </c:pt>
                <c:pt idx="20">
                  <c:v>2.0267350729795535</c:v>
                </c:pt>
                <c:pt idx="21">
                  <c:v>2.2179099906268687</c:v>
                </c:pt>
                <c:pt idx="22">
                  <c:v>2.4210353882988946</c:v>
                </c:pt>
                <c:pt idx="23">
                  <c:v>2.6682487380804338</c:v>
                </c:pt>
                <c:pt idx="24">
                  <c:v>2.8929515103168595</c:v>
                </c:pt>
                <c:pt idx="25">
                  <c:v>3.1849660979189625</c:v>
                </c:pt>
                <c:pt idx="26">
                  <c:v>3.475498438840821</c:v>
                </c:pt>
                <c:pt idx="27">
                  <c:v>3.788559558834494</c:v>
                </c:pt>
                <c:pt idx="28">
                  <c:v>4.1477030899928362</c:v>
                </c:pt>
                <c:pt idx="29">
                  <c:v>4.550623220086309</c:v>
                </c:pt>
                <c:pt idx="30">
                  <c:v>4.9747183639362964</c:v>
                </c:pt>
                <c:pt idx="31">
                  <c:v>5.4576515488626498</c:v>
                </c:pt>
                <c:pt idx="32">
                  <c:v>5.9729050776832429</c:v>
                </c:pt>
                <c:pt idx="33">
                  <c:v>6.5115653415694377</c:v>
                </c:pt>
                <c:pt idx="34">
                  <c:v>7.0404164815133319</c:v>
                </c:pt>
                <c:pt idx="35">
                  <c:v>7.6176541317665674</c:v>
                </c:pt>
                <c:pt idx="36">
                  <c:v>8.3348807945512426</c:v>
                </c:pt>
                <c:pt idx="37">
                  <c:v>9.3564104309525344</c:v>
                </c:pt>
                <c:pt idx="38">
                  <c:v>10.023754632068696</c:v>
                </c:pt>
                <c:pt idx="39">
                  <c:v>11.187787233042178</c:v>
                </c:pt>
                <c:pt idx="40">
                  <c:v>12.167262349069814</c:v>
                </c:pt>
                <c:pt idx="41">
                  <c:v>13.251297312974208</c:v>
                </c:pt>
                <c:pt idx="42">
                  <c:v>14.379010801705157</c:v>
                </c:pt>
                <c:pt idx="43">
                  <c:v>15.827526840938907</c:v>
                </c:pt>
                <c:pt idx="44">
                  <c:v>17.236362695423175</c:v>
                </c:pt>
                <c:pt idx="45">
                  <c:v>19.047972211244879</c:v>
                </c:pt>
                <c:pt idx="46">
                  <c:v>20.628563667471916</c:v>
                </c:pt>
                <c:pt idx="47">
                  <c:v>22.947362793379074</c:v>
                </c:pt>
                <c:pt idx="48">
                  <c:v>24.9322285732861</c:v>
                </c:pt>
                <c:pt idx="49">
                  <c:v>27.096086025409569</c:v>
                </c:pt>
                <c:pt idx="50">
                  <c:v>29.82923412709324</c:v>
                </c:pt>
                <c:pt idx="51">
                  <c:v>32.543586261627951</c:v>
                </c:pt>
                <c:pt idx="52">
                  <c:v>35.504852170228268</c:v>
                </c:pt>
                <c:pt idx="53">
                  <c:v>39.083445341114263</c:v>
                </c:pt>
                <c:pt idx="54">
                  <c:v>42.753589193405162</c:v>
                </c:pt>
                <c:pt idx="55">
                  <c:v>46.838368106645177</c:v>
                </c:pt>
                <c:pt idx="56">
                  <c:v>51.240907131666106</c:v>
                </c:pt>
                <c:pt idx="57">
                  <c:v>56.21667861452373</c:v>
                </c:pt>
                <c:pt idx="58">
                  <c:v>61.219773800992904</c:v>
                </c:pt>
                <c:pt idx="59">
                  <c:v>67.160203928872761</c:v>
                </c:pt>
                <c:pt idx="60">
                  <c:v>73.383937179540254</c:v>
                </c:pt>
                <c:pt idx="61">
                  <c:v>80.340137552502156</c:v>
                </c:pt>
                <c:pt idx="62">
                  <c:v>87.903605953416999</c:v>
                </c:pt>
                <c:pt idx="63">
                  <c:v>96.245431594014704</c:v>
                </c:pt>
                <c:pt idx="64">
                  <c:v>105.07810401507693</c:v>
                </c:pt>
                <c:pt idx="65">
                  <c:v>115.09346967055717</c:v>
                </c:pt>
                <c:pt idx="66">
                  <c:v>126.32981258103921</c:v>
                </c:pt>
                <c:pt idx="67">
                  <c:v>137.74223320638075</c:v>
                </c:pt>
                <c:pt idx="68">
                  <c:v>150.8328602897796</c:v>
                </c:pt>
                <c:pt idx="69">
                  <c:v>164.77948161898516</c:v>
                </c:pt>
                <c:pt idx="70">
                  <c:v>180.43126650969828</c:v>
                </c:pt>
                <c:pt idx="71">
                  <c:v>197.55526282951067</c:v>
                </c:pt>
                <c:pt idx="72">
                  <c:v>216.18740424657003</c:v>
                </c:pt>
                <c:pt idx="73">
                  <c:v>235.60237062864257</c:v>
                </c:pt>
                <c:pt idx="74">
                  <c:v>257.62176048940324</c:v>
                </c:pt>
                <c:pt idx="75">
                  <c:v>282.5409507737748</c:v>
                </c:pt>
                <c:pt idx="76">
                  <c:v>309.5196802073591</c:v>
                </c:pt>
                <c:pt idx="77">
                  <c:v>339.03906524858229</c:v>
                </c:pt>
                <c:pt idx="78">
                  <c:v>370.33644051513335</c:v>
                </c:pt>
                <c:pt idx="79">
                  <c:v>406.7938466727212</c:v>
                </c:pt>
                <c:pt idx="80">
                  <c:v>444.22444949030307</c:v>
                </c:pt>
                <c:pt idx="81">
                  <c:v>484.56154061481237</c:v>
                </c:pt>
                <c:pt idx="82">
                  <c:v>531.73743098025182</c:v>
                </c:pt>
                <c:pt idx="83">
                  <c:v>581.20008407152068</c:v>
                </c:pt>
                <c:pt idx="84">
                  <c:v>634.98349351631111</c:v>
                </c:pt>
                <c:pt idx="85">
                  <c:v>695.71802575052084</c:v>
                </c:pt>
                <c:pt idx="86">
                  <c:v>760.80927541575761</c:v>
                </c:pt>
                <c:pt idx="87">
                  <c:v>832.87516509945317</c:v>
                </c:pt>
                <c:pt idx="88">
                  <c:v>911.07702326996503</c:v>
                </c:pt>
                <c:pt idx="89">
                  <c:v>995.96660030091107</c:v>
                </c:pt>
                <c:pt idx="90">
                  <c:v>1088.1105024378667</c:v>
                </c:pt>
                <c:pt idx="91">
                  <c:v>1191.4219637017677</c:v>
                </c:pt>
                <c:pt idx="92">
                  <c:v>1303.9200549817288</c:v>
                </c:pt>
                <c:pt idx="93">
                  <c:v>1427.017016031863</c:v>
                </c:pt>
                <c:pt idx="94">
                  <c:v>1559.6107713915428</c:v>
                </c:pt>
                <c:pt idx="95">
                  <c:v>1707.9256573173084</c:v>
                </c:pt>
                <c:pt idx="96">
                  <c:v>1867.215579040447</c:v>
                </c:pt>
                <c:pt idx="97">
                  <c:v>2042.4234305190691</c:v>
                </c:pt>
                <c:pt idx="98">
                  <c:v>2235.5324432501197</c:v>
                </c:pt>
                <c:pt idx="99">
                  <c:v>2446.6097153416276</c:v>
                </c:pt>
                <c:pt idx="100">
                  <c:v>2670.9789910686941</c:v>
                </c:pt>
                <c:pt idx="101">
                  <c:v>2918.0916748442569</c:v>
                </c:pt>
                <c:pt idx="102">
                  <c:v>3209.4220118107014</c:v>
                </c:pt>
                <c:pt idx="103">
                  <c:v>3501.7143076004199</c:v>
                </c:pt>
                <c:pt idx="104">
                  <c:v>3838.3648117680996</c:v>
                </c:pt>
                <c:pt idx="105">
                  <c:v>4197.5997497087183</c:v>
                </c:pt>
                <c:pt idx="106">
                  <c:v>4579.2454557309065</c:v>
                </c:pt>
                <c:pt idx="107">
                  <c:v>5006.1034457218129</c:v>
                </c:pt>
                <c:pt idx="108">
                  <c:v>5477.7185050661847</c:v>
                </c:pt>
                <c:pt idx="109">
                  <c:v>5994.3151712235695</c:v>
                </c:pt>
                <c:pt idx="110">
                  <c:v>6578.0213477024736</c:v>
                </c:pt>
                <c:pt idx="111">
                  <c:v>7183.6400997745786</c:v>
                </c:pt>
                <c:pt idx="112">
                  <c:v>7856.1192659240187</c:v>
                </c:pt>
                <c:pt idx="113">
                  <c:v>8597.1148099149523</c:v>
                </c:pt>
                <c:pt idx="114">
                  <c:v>9403.4919783082387</c:v>
                </c:pt>
                <c:pt idx="115">
                  <c:v>10278.467971891443</c:v>
                </c:pt>
                <c:pt idx="116">
                  <c:v>11242.967752275545</c:v>
                </c:pt>
                <c:pt idx="117">
                  <c:v>12297.319354655348</c:v>
                </c:pt>
                <c:pt idx="118">
                  <c:v>13347.678400332585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761600"/>
        <c:axId val="170771968"/>
      </c:scatterChart>
      <c:scatterChart>
        <c:scatterStyle val="lineMarker"/>
        <c:varyColors val="0"/>
        <c:ser>
          <c:idx val="1"/>
          <c:order val="1"/>
          <c:spPr>
            <a:ln>
              <a:noFill/>
            </a:ln>
          </c:spPr>
          <c:marker>
            <c:symbol val="none"/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0.99993527508090618</c:v>
                </c:pt>
                <c:pt idx="33">
                  <c:v>0.99954692556634306</c:v>
                </c:pt>
                <c:pt idx="34">
                  <c:v>0.99954692556634306</c:v>
                </c:pt>
                <c:pt idx="35">
                  <c:v>0.99954692556634306</c:v>
                </c:pt>
                <c:pt idx="36">
                  <c:v>0.99954692556634306</c:v>
                </c:pt>
                <c:pt idx="37">
                  <c:v>0.99954692556634306</c:v>
                </c:pt>
                <c:pt idx="38">
                  <c:v>0.99954692556634306</c:v>
                </c:pt>
                <c:pt idx="39">
                  <c:v>0.99941747572815531</c:v>
                </c:pt>
                <c:pt idx="40">
                  <c:v>0.99909385113268612</c:v>
                </c:pt>
                <c:pt idx="41">
                  <c:v>0.99877022653721681</c:v>
                </c:pt>
                <c:pt idx="42">
                  <c:v>0.99805825242718449</c:v>
                </c:pt>
                <c:pt idx="43">
                  <c:v>0.9968284789644013</c:v>
                </c:pt>
                <c:pt idx="44">
                  <c:v>0.99495145631067961</c:v>
                </c:pt>
                <c:pt idx="45">
                  <c:v>0.99158576051779934</c:v>
                </c:pt>
                <c:pt idx="46">
                  <c:v>0.98595469255663426</c:v>
                </c:pt>
                <c:pt idx="47">
                  <c:v>0.97391585760517796</c:v>
                </c:pt>
                <c:pt idx="48">
                  <c:v>0.94763754045307447</c:v>
                </c:pt>
                <c:pt idx="49">
                  <c:v>0.90446601941747573</c:v>
                </c:pt>
                <c:pt idx="50">
                  <c:v>0.83721682847896439</c:v>
                </c:pt>
                <c:pt idx="51">
                  <c:v>0.75799352750809057</c:v>
                </c:pt>
                <c:pt idx="52">
                  <c:v>0.6735275080906149</c:v>
                </c:pt>
                <c:pt idx="53">
                  <c:v>0.619093851132686</c:v>
                </c:pt>
                <c:pt idx="54">
                  <c:v>0.58860841423948207</c:v>
                </c:pt>
                <c:pt idx="55">
                  <c:v>0.56174757281553389</c:v>
                </c:pt>
                <c:pt idx="56">
                  <c:v>0.53695792880258897</c:v>
                </c:pt>
                <c:pt idx="57">
                  <c:v>0.51508090614886726</c:v>
                </c:pt>
                <c:pt idx="58">
                  <c:v>0.49533980582524273</c:v>
                </c:pt>
                <c:pt idx="59">
                  <c:v>0.4765695792880259</c:v>
                </c:pt>
                <c:pt idx="60">
                  <c:v>0.45922330097087372</c:v>
                </c:pt>
                <c:pt idx="61">
                  <c:v>0.44271844660194171</c:v>
                </c:pt>
                <c:pt idx="62">
                  <c:v>0.42673139158576046</c:v>
                </c:pt>
                <c:pt idx="63">
                  <c:v>0.41126213592233007</c:v>
                </c:pt>
                <c:pt idx="64">
                  <c:v>0.39624595469255663</c:v>
                </c:pt>
                <c:pt idx="65">
                  <c:v>0.38194174757281552</c:v>
                </c:pt>
                <c:pt idx="66">
                  <c:v>0.36744336569579283</c:v>
                </c:pt>
                <c:pt idx="67">
                  <c:v>0.35359223300970866</c:v>
                </c:pt>
                <c:pt idx="68">
                  <c:v>0.33980582524271841</c:v>
                </c:pt>
                <c:pt idx="69">
                  <c:v>0.32660194174757284</c:v>
                </c:pt>
                <c:pt idx="70">
                  <c:v>0.31339805825242717</c:v>
                </c:pt>
                <c:pt idx="71">
                  <c:v>0.30084142394822</c:v>
                </c:pt>
                <c:pt idx="72">
                  <c:v>0.28841423948220068</c:v>
                </c:pt>
                <c:pt idx="73">
                  <c:v>0.27689320388349514</c:v>
                </c:pt>
                <c:pt idx="74">
                  <c:v>0.2650485436893204</c:v>
                </c:pt>
                <c:pt idx="75">
                  <c:v>0.25339805825242712</c:v>
                </c:pt>
                <c:pt idx="76">
                  <c:v>0.24200647249190932</c:v>
                </c:pt>
                <c:pt idx="77">
                  <c:v>0.23119741100323621</c:v>
                </c:pt>
                <c:pt idx="78">
                  <c:v>0.22097087378640778</c:v>
                </c:pt>
                <c:pt idx="79">
                  <c:v>0.21042071197411005</c:v>
                </c:pt>
                <c:pt idx="80">
                  <c:v>0.20051779935275071</c:v>
                </c:pt>
                <c:pt idx="81">
                  <c:v>0.19113268608414236</c:v>
                </c:pt>
                <c:pt idx="82">
                  <c:v>0.18148867313915862</c:v>
                </c:pt>
                <c:pt idx="83">
                  <c:v>0.17229773462783171</c:v>
                </c:pt>
                <c:pt idx="84">
                  <c:v>0.16336569579288029</c:v>
                </c:pt>
                <c:pt idx="85">
                  <c:v>0.15417475728155339</c:v>
                </c:pt>
                <c:pt idx="86">
                  <c:v>0.14563106796116498</c:v>
                </c:pt>
                <c:pt idx="87">
                  <c:v>0.13715210355987051</c:v>
                </c:pt>
                <c:pt idx="88">
                  <c:v>0.12880258899676367</c:v>
                </c:pt>
                <c:pt idx="89">
                  <c:v>0.12032362459546919</c:v>
                </c:pt>
                <c:pt idx="90">
                  <c:v>0.11223300970873784</c:v>
                </c:pt>
                <c:pt idx="91">
                  <c:v>0.10420711974110031</c:v>
                </c:pt>
                <c:pt idx="92">
                  <c:v>9.6699029126213532E-2</c:v>
                </c:pt>
                <c:pt idx="93">
                  <c:v>8.8932038834951488E-2</c:v>
                </c:pt>
                <c:pt idx="94">
                  <c:v>8.1618122977346164E-2</c:v>
                </c:pt>
                <c:pt idx="95">
                  <c:v>7.4757281553398003E-2</c:v>
                </c:pt>
                <c:pt idx="96">
                  <c:v>6.8090614886731404E-2</c:v>
                </c:pt>
                <c:pt idx="97">
                  <c:v>6.1359223300970878E-2</c:v>
                </c:pt>
                <c:pt idx="98">
                  <c:v>5.5922330097087358E-2</c:v>
                </c:pt>
                <c:pt idx="99">
                  <c:v>5.0291262135922277E-2</c:v>
                </c:pt>
                <c:pt idx="100">
                  <c:v>4.4983818770226502E-2</c:v>
                </c:pt>
                <c:pt idx="101">
                  <c:v>4.0258899676375415E-2</c:v>
                </c:pt>
                <c:pt idx="102">
                  <c:v>3.5469255663430399E-2</c:v>
                </c:pt>
                <c:pt idx="103">
                  <c:v>3.0938511326860763E-2</c:v>
                </c:pt>
                <c:pt idx="104">
                  <c:v>2.6731391585760433E-2</c:v>
                </c:pt>
                <c:pt idx="105">
                  <c:v>2.2847896440129412E-2</c:v>
                </c:pt>
                <c:pt idx="106">
                  <c:v>1.9417475728155331E-2</c:v>
                </c:pt>
                <c:pt idx="107">
                  <c:v>1.5533980582524309E-2</c:v>
                </c:pt>
                <c:pt idx="108">
                  <c:v>1.2362459546925497E-2</c:v>
                </c:pt>
                <c:pt idx="109">
                  <c:v>1.0032362459546862E-2</c:v>
                </c:pt>
                <c:pt idx="110">
                  <c:v>7.6375404530744095E-3</c:v>
                </c:pt>
                <c:pt idx="111">
                  <c:v>5.8899676375403498E-3</c:v>
                </c:pt>
                <c:pt idx="112">
                  <c:v>4.3365695792879633E-3</c:v>
                </c:pt>
                <c:pt idx="113">
                  <c:v>2.9773462783171389E-3</c:v>
                </c:pt>
                <c:pt idx="114">
                  <c:v>2.006472491909328E-3</c:v>
                </c:pt>
                <c:pt idx="115">
                  <c:v>1.1650485436893732E-3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Table!$O$18:$O$136</c:f>
              <c:numCache>
                <c:formatCode>????0.00</c:formatCode>
                <c:ptCount val="119"/>
                <c:pt idx="0">
                  <c:v>0.72627924571492541</c:v>
                </c:pt>
                <c:pt idx="1">
                  <c:v>0.77012847217272151</c:v>
                </c:pt>
                <c:pt idx="2">
                  <c:v>0.87023175907546968</c:v>
                </c:pt>
                <c:pt idx="3">
                  <c:v>0.96782267308423287</c:v>
                </c:pt>
                <c:pt idx="4">
                  <c:v>1.0426450857340235</c:v>
                </c:pt>
                <c:pt idx="5">
                  <c:v>1.135682345403126</c:v>
                </c:pt>
                <c:pt idx="6">
                  <c:v>1.2408497074834965</c:v>
                </c:pt>
                <c:pt idx="7">
                  <c:v>1.3542609689562066</c:v>
                </c:pt>
                <c:pt idx="8">
                  <c:v>1.4838456237570508</c:v>
                </c:pt>
                <c:pt idx="9">
                  <c:v>1.6310565052812807</c:v>
                </c:pt>
                <c:pt idx="10">
                  <c:v>1.7781888428565422</c:v>
                </c:pt>
                <c:pt idx="11">
                  <c:v>1.9452240333719337</c:v>
                </c:pt>
                <c:pt idx="12">
                  <c:v>2.1286289770878812</c:v>
                </c:pt>
                <c:pt idx="13">
                  <c:v>2.3216911519562657</c:v>
                </c:pt>
                <c:pt idx="14">
                  <c:v>2.534459819892358</c:v>
                </c:pt>
                <c:pt idx="15">
                  <c:v>2.7761211780154533</c:v>
                </c:pt>
                <c:pt idx="16">
                  <c:v>3.0368609072751767</c:v>
                </c:pt>
                <c:pt idx="17">
                  <c:v>3.320329923334556</c:v>
                </c:pt>
                <c:pt idx="18">
                  <c:v>3.6326523576064522</c:v>
                </c:pt>
                <c:pt idx="19">
                  <c:v>3.9733569463970557</c:v>
                </c:pt>
                <c:pt idx="20">
                  <c:v>4.3473510788922214</c:v>
                </c:pt>
                <c:pt idx="21">
                  <c:v>4.7574216873163211</c:v>
                </c:pt>
                <c:pt idx="22">
                  <c:v>5.1931261010272305</c:v>
                </c:pt>
                <c:pt idx="23">
                  <c:v>5.7233992665817981</c:v>
                </c:pt>
                <c:pt idx="24">
                  <c:v>6.2053871950168595</c:v>
                </c:pt>
                <c:pt idx="25">
                  <c:v>6.8317591117952867</c:v>
                </c:pt>
                <c:pt idx="26">
                  <c:v>7.4549516062651682</c:v>
                </c:pt>
                <c:pt idx="27">
                  <c:v>8.1264683801683706</c:v>
                </c:pt>
                <c:pt idx="28">
                  <c:v>8.8968320248666597</c:v>
                </c:pt>
                <c:pt idx="29">
                  <c:v>9.761096568181701</c:v>
                </c:pt>
                <c:pt idx="30">
                  <c:v>10.670781561424919</c:v>
                </c:pt>
                <c:pt idx="31">
                  <c:v>11.706674278984664</c:v>
                </c:pt>
                <c:pt idx="32">
                  <c:v>12.81189420352476</c:v>
                </c:pt>
                <c:pt idx="33">
                  <c:v>13.967321624988072</c:v>
                </c:pt>
                <c:pt idx="34">
                  <c:v>15.101708454554554</c:v>
                </c:pt>
                <c:pt idx="35">
                  <c:v>16.339884452523741</c:v>
                </c:pt>
                <c:pt idx="36">
                  <c:v>17.878337182649602</c:v>
                </c:pt>
                <c:pt idx="37">
                  <c:v>20.069520443913635</c:v>
                </c:pt>
                <c:pt idx="38">
                  <c:v>21.500975186762542</c:v>
                </c:pt>
                <c:pt idx="39">
                  <c:v>23.997827612703087</c:v>
                </c:pt>
                <c:pt idx="40">
                  <c:v>26.098803837558595</c:v>
                </c:pt>
                <c:pt idx="41">
                  <c:v>28.424061160390838</c:v>
                </c:pt>
                <c:pt idx="42">
                  <c:v>30.843009012666577</c:v>
                </c:pt>
                <c:pt idx="43">
                  <c:v>33.950079023892982</c:v>
                </c:pt>
                <c:pt idx="44">
                  <c:v>36.972034953717667</c:v>
                </c:pt>
                <c:pt idx="45">
                  <c:v>40.857941251061526</c:v>
                </c:pt>
                <c:pt idx="46">
                  <c:v>44.248313315040583</c:v>
                </c:pt>
                <c:pt idx="47">
                  <c:v>49.222142413940539</c:v>
                </c:pt>
                <c:pt idx="48">
                  <c:v>53.479683769382461</c:v>
                </c:pt>
                <c:pt idx="49">
                  <c:v>58.121162645666175</c:v>
                </c:pt>
                <c:pt idx="50">
                  <c:v>63.983771186386193</c:v>
                </c:pt>
                <c:pt idx="51">
                  <c:v>69.806062337254303</c:v>
                </c:pt>
                <c:pt idx="52">
                  <c:v>76.157984063123706</c:v>
                </c:pt>
                <c:pt idx="53">
                  <c:v>83.83407409076419</c:v>
                </c:pt>
                <c:pt idx="54">
                  <c:v>91.706540526394605</c:v>
                </c:pt>
                <c:pt idx="55">
                  <c:v>100.46840005715397</c:v>
                </c:pt>
                <c:pt idx="56">
                  <c:v>109.91185570927952</c:v>
                </c:pt>
                <c:pt idx="57">
                  <c:v>120.58489621304962</c:v>
                </c:pt>
                <c:pt idx="58">
                  <c:v>131.31654611967593</c:v>
                </c:pt>
                <c:pt idx="59">
                  <c:v>144.05878148621358</c:v>
                </c:pt>
                <c:pt idx="60">
                  <c:v>157.40870265881651</c:v>
                </c:pt>
                <c:pt idx="61">
                  <c:v>172.32976737988454</c:v>
                </c:pt>
                <c:pt idx="62">
                  <c:v>188.55342332350281</c:v>
                </c:pt>
                <c:pt idx="63">
                  <c:v>206.44665721581876</c:v>
                </c:pt>
                <c:pt idx="64">
                  <c:v>225.39275850509856</c:v>
                </c:pt>
                <c:pt idx="65">
                  <c:v>246.87573931908446</c:v>
                </c:pt>
                <c:pt idx="66">
                  <c:v>270.97771896404811</c:v>
                </c:pt>
                <c:pt idx="67">
                  <c:v>295.45738568507244</c:v>
                </c:pt>
                <c:pt idx="68">
                  <c:v>323.53680885838617</c:v>
                </c:pt>
                <c:pt idx="69">
                  <c:v>353.45234152506475</c:v>
                </c:pt>
                <c:pt idx="70">
                  <c:v>387.0254536887565</c:v>
                </c:pt>
                <c:pt idx="71">
                  <c:v>423.75646252576297</c:v>
                </c:pt>
                <c:pt idx="72">
                  <c:v>463.72244583133858</c:v>
                </c:pt>
                <c:pt idx="73">
                  <c:v>505.36759036602876</c:v>
                </c:pt>
                <c:pt idx="74">
                  <c:v>552.59922884899891</c:v>
                </c:pt>
                <c:pt idx="75">
                  <c:v>606.05094546069245</c:v>
                </c:pt>
                <c:pt idx="76">
                  <c:v>663.92037796516331</c:v>
                </c:pt>
                <c:pt idx="77">
                  <c:v>727.23952219773139</c:v>
                </c:pt>
                <c:pt idx="78">
                  <c:v>794.37245927742049</c:v>
                </c:pt>
                <c:pt idx="79">
                  <c:v>872.57367368666075</c:v>
                </c:pt>
                <c:pt idx="80">
                  <c:v>952.86239701909722</c:v>
                </c:pt>
                <c:pt idx="81">
                  <c:v>1039.3855440043167</c:v>
                </c:pt>
                <c:pt idx="82">
                  <c:v>1140.5779300305703</c:v>
                </c:pt>
                <c:pt idx="83">
                  <c:v>1246.6754270088391</c:v>
                </c:pt>
                <c:pt idx="84">
                  <c:v>1362.0409556334432</c:v>
                </c:pt>
                <c:pt idx="85">
                  <c:v>1492.3166575515249</c:v>
                </c:pt>
                <c:pt idx="86">
                  <c:v>1631.937527704328</c:v>
                </c:pt>
                <c:pt idx="87">
                  <c:v>1786.5190156573428</c:v>
                </c:pt>
                <c:pt idx="88">
                  <c:v>1954.2621691762445</c:v>
                </c:pt>
                <c:pt idx="89">
                  <c:v>2136.3504939959485</c:v>
                </c:pt>
                <c:pt idx="90">
                  <c:v>2333.9993617285859</c:v>
                </c:pt>
                <c:pt idx="91">
                  <c:v>2555.60266774296</c:v>
                </c:pt>
                <c:pt idx="92">
                  <c:v>2796.9113148471233</c:v>
                </c:pt>
                <c:pt idx="93">
                  <c:v>3060.9545603429069</c:v>
                </c:pt>
                <c:pt idx="94">
                  <c:v>3345.3684500033096</c:v>
                </c:pt>
                <c:pt idx="95">
                  <c:v>3663.5041984498253</c:v>
                </c:pt>
                <c:pt idx="96">
                  <c:v>4005.1814222231819</c:v>
                </c:pt>
                <c:pt idx="97">
                  <c:v>4381.0026394660435</c:v>
                </c:pt>
                <c:pt idx="98">
                  <c:v>4795.2218859933937</c:v>
                </c:pt>
                <c:pt idx="99">
                  <c:v>5247.9830873908795</c:v>
                </c:pt>
                <c:pt idx="100">
                  <c:v>5729.2556650980141</c:v>
                </c:pt>
                <c:pt idx="101">
                  <c:v>6259.3129018538339</c:v>
                </c:pt>
                <c:pt idx="102">
                  <c:v>6884.217099551056</c:v>
                </c:pt>
                <c:pt idx="103">
                  <c:v>7511.1847009876028</c:v>
                </c:pt>
                <c:pt idx="104">
                  <c:v>8233.3007545433284</c:v>
                </c:pt>
                <c:pt idx="105">
                  <c:v>9003.8604669856686</c:v>
                </c:pt>
                <c:pt idx="106">
                  <c:v>9822.4913250341215</c:v>
                </c:pt>
                <c:pt idx="107">
                  <c:v>10738.102629175919</c:v>
                </c:pt>
                <c:pt idx="108">
                  <c:v>11749.717943084912</c:v>
                </c:pt>
                <c:pt idx="109">
                  <c:v>12857.818900093458</c:v>
                </c:pt>
                <c:pt idx="110">
                  <c:v>14109.869900691709</c:v>
                </c:pt>
                <c:pt idx="111">
                  <c:v>15408.923422939897</c:v>
                </c:pt>
                <c:pt idx="112">
                  <c:v>16851.3926767997</c:v>
                </c:pt>
                <c:pt idx="113">
                  <c:v>18440.829708097284</c:v>
                </c:pt>
                <c:pt idx="114">
                  <c:v>20170.510463981638</c:v>
                </c:pt>
                <c:pt idx="115">
                  <c:v>22047.335847042996</c:v>
                </c:pt>
                <c:pt idx="116">
                  <c:v>24116.189944820992</c:v>
                </c:pt>
                <c:pt idx="117">
                  <c:v>26377.776393512122</c:v>
                </c:pt>
                <c:pt idx="118">
                  <c:v>28630.798799512198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776064"/>
        <c:axId val="170773888"/>
      </c:scatterChart>
      <c:valAx>
        <c:axId val="170761600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0890446913314276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170771968"/>
        <c:crossesAt val="0"/>
        <c:crossBetween val="midCat"/>
        <c:majorUnit val="0.2"/>
        <c:minorUnit val="0.1"/>
      </c:valAx>
      <c:valAx>
        <c:axId val="170771968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50" b="0"/>
                  <a:t>Equivalent </a:t>
                </a:r>
                <a:r>
                  <a:rPr lang="en-US" sz="600" b="0"/>
                  <a:t>Gas-Water</a:t>
                </a:r>
                <a:r>
                  <a:rPr lang="en-US" sz="550" b="0"/>
                  <a:t> Capillary Pressure, psi.</a:t>
                </a:r>
              </a:p>
            </c:rich>
          </c:tx>
          <c:layout>
            <c:manualLayout>
              <c:xMode val="edge"/>
              <c:yMode val="edge"/>
              <c:x val="1.7123287671232879E-2"/>
              <c:y val="0.22742474916387959"/>
            </c:manualLayout>
          </c:layout>
          <c:overlay val="0"/>
          <c:spPr>
            <a:noFill/>
            <a:ln w="25400">
              <a:noFill/>
            </a:ln>
          </c:spPr>
        </c:title>
        <c:numFmt formatCode="????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170761600"/>
        <c:crossesAt val="0"/>
        <c:crossBetween val="midCat"/>
        <c:majorUnit val="40"/>
        <c:minorUnit val="20"/>
      </c:valAx>
      <c:valAx>
        <c:axId val="170773888"/>
        <c:scaling>
          <c:orientation val="minMax"/>
          <c:max val="429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1"/>
                  <a:t>Estimated Height Above Free Water, ft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170776064"/>
        <c:crosses val="max"/>
        <c:crossBetween val="midCat"/>
        <c:majorUnit val="85.8"/>
        <c:minorUnit val="42.9"/>
      </c:valAx>
      <c:valAx>
        <c:axId val="170776064"/>
        <c:scaling>
          <c:orientation val="minMax"/>
        </c:scaling>
        <c:delete val="1"/>
        <c:axPos val="b"/>
        <c:numFmt formatCode="0.000" sourceLinked="1"/>
        <c:majorTickMark val="out"/>
        <c:minorTickMark val="none"/>
        <c:tickLblPos val="none"/>
        <c:crossAx val="17077388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1199" r="0.75000000000001199" t="1" header="0.5" footer="0.5"/>
    <c:pageSetup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9031174022717789"/>
          <c:y val="7.0234113712374549E-2"/>
          <c:w val="0.73356525323931165"/>
          <c:h val="0.79152731326644366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FF00"/>
              </a:solidFill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0.99993527508090618</c:v>
                </c:pt>
                <c:pt idx="33">
                  <c:v>0.99954692556634306</c:v>
                </c:pt>
                <c:pt idx="34">
                  <c:v>0.99954692556634306</c:v>
                </c:pt>
                <c:pt idx="35">
                  <c:v>0.99954692556634306</c:v>
                </c:pt>
                <c:pt idx="36">
                  <c:v>0.99954692556634306</c:v>
                </c:pt>
                <c:pt idx="37">
                  <c:v>0.99954692556634306</c:v>
                </c:pt>
                <c:pt idx="38">
                  <c:v>0.99954692556634306</c:v>
                </c:pt>
                <c:pt idx="39">
                  <c:v>0.99941747572815531</c:v>
                </c:pt>
                <c:pt idx="40">
                  <c:v>0.99909385113268612</c:v>
                </c:pt>
                <c:pt idx="41">
                  <c:v>0.99877022653721681</c:v>
                </c:pt>
                <c:pt idx="42">
                  <c:v>0.99805825242718449</c:v>
                </c:pt>
                <c:pt idx="43">
                  <c:v>0.9968284789644013</c:v>
                </c:pt>
                <c:pt idx="44">
                  <c:v>0.99495145631067961</c:v>
                </c:pt>
                <c:pt idx="45">
                  <c:v>0.99158576051779934</c:v>
                </c:pt>
                <c:pt idx="46">
                  <c:v>0.98595469255663426</c:v>
                </c:pt>
                <c:pt idx="47">
                  <c:v>0.97391585760517796</c:v>
                </c:pt>
                <c:pt idx="48">
                  <c:v>0.94763754045307447</c:v>
                </c:pt>
                <c:pt idx="49">
                  <c:v>0.90446601941747573</c:v>
                </c:pt>
                <c:pt idx="50">
                  <c:v>0.83721682847896439</c:v>
                </c:pt>
                <c:pt idx="51">
                  <c:v>0.75799352750809057</c:v>
                </c:pt>
                <c:pt idx="52">
                  <c:v>0.6735275080906149</c:v>
                </c:pt>
                <c:pt idx="53">
                  <c:v>0.619093851132686</c:v>
                </c:pt>
                <c:pt idx="54">
                  <c:v>0.58860841423948207</c:v>
                </c:pt>
                <c:pt idx="55">
                  <c:v>0.56174757281553389</c:v>
                </c:pt>
                <c:pt idx="56">
                  <c:v>0.53695792880258897</c:v>
                </c:pt>
                <c:pt idx="57">
                  <c:v>0.51508090614886726</c:v>
                </c:pt>
                <c:pt idx="58">
                  <c:v>0.49533980582524273</c:v>
                </c:pt>
                <c:pt idx="59">
                  <c:v>0.4765695792880259</c:v>
                </c:pt>
                <c:pt idx="60">
                  <c:v>0.45922330097087372</c:v>
                </c:pt>
                <c:pt idx="61">
                  <c:v>0.44271844660194171</c:v>
                </c:pt>
                <c:pt idx="62">
                  <c:v>0.42673139158576046</c:v>
                </c:pt>
                <c:pt idx="63">
                  <c:v>0.41126213592233007</c:v>
                </c:pt>
                <c:pt idx="64">
                  <c:v>0.39624595469255663</c:v>
                </c:pt>
                <c:pt idx="65">
                  <c:v>0.38194174757281552</c:v>
                </c:pt>
                <c:pt idx="66">
                  <c:v>0.36744336569579283</c:v>
                </c:pt>
                <c:pt idx="67">
                  <c:v>0.35359223300970866</c:v>
                </c:pt>
                <c:pt idx="68">
                  <c:v>0.33980582524271841</c:v>
                </c:pt>
                <c:pt idx="69">
                  <c:v>0.32660194174757284</c:v>
                </c:pt>
                <c:pt idx="70">
                  <c:v>0.31339805825242717</c:v>
                </c:pt>
                <c:pt idx="71">
                  <c:v>0.30084142394822</c:v>
                </c:pt>
                <c:pt idx="72">
                  <c:v>0.28841423948220068</c:v>
                </c:pt>
                <c:pt idx="73">
                  <c:v>0.27689320388349514</c:v>
                </c:pt>
                <c:pt idx="74">
                  <c:v>0.2650485436893204</c:v>
                </c:pt>
                <c:pt idx="75">
                  <c:v>0.25339805825242712</c:v>
                </c:pt>
                <c:pt idx="76">
                  <c:v>0.24200647249190932</c:v>
                </c:pt>
                <c:pt idx="77">
                  <c:v>0.23119741100323621</c:v>
                </c:pt>
                <c:pt idx="78">
                  <c:v>0.22097087378640778</c:v>
                </c:pt>
                <c:pt idx="79">
                  <c:v>0.21042071197411005</c:v>
                </c:pt>
                <c:pt idx="80">
                  <c:v>0.20051779935275071</c:v>
                </c:pt>
                <c:pt idx="81">
                  <c:v>0.19113268608414236</c:v>
                </c:pt>
                <c:pt idx="82">
                  <c:v>0.18148867313915862</c:v>
                </c:pt>
                <c:pt idx="83">
                  <c:v>0.17229773462783171</c:v>
                </c:pt>
                <c:pt idx="84">
                  <c:v>0.16336569579288029</c:v>
                </c:pt>
                <c:pt idx="85">
                  <c:v>0.15417475728155339</c:v>
                </c:pt>
                <c:pt idx="86">
                  <c:v>0.14563106796116498</c:v>
                </c:pt>
                <c:pt idx="87">
                  <c:v>0.13715210355987051</c:v>
                </c:pt>
                <c:pt idx="88">
                  <c:v>0.12880258899676367</c:v>
                </c:pt>
                <c:pt idx="89">
                  <c:v>0.12032362459546919</c:v>
                </c:pt>
                <c:pt idx="90">
                  <c:v>0.11223300970873784</c:v>
                </c:pt>
                <c:pt idx="91">
                  <c:v>0.10420711974110031</c:v>
                </c:pt>
                <c:pt idx="92">
                  <c:v>9.6699029126213532E-2</c:v>
                </c:pt>
                <c:pt idx="93">
                  <c:v>8.8932038834951488E-2</c:v>
                </c:pt>
                <c:pt idx="94">
                  <c:v>8.1618122977346164E-2</c:v>
                </c:pt>
                <c:pt idx="95">
                  <c:v>7.4757281553398003E-2</c:v>
                </c:pt>
                <c:pt idx="96">
                  <c:v>6.8090614886731404E-2</c:v>
                </c:pt>
                <c:pt idx="97">
                  <c:v>6.1359223300970878E-2</c:v>
                </c:pt>
                <c:pt idx="98">
                  <c:v>5.5922330097087358E-2</c:v>
                </c:pt>
                <c:pt idx="99">
                  <c:v>5.0291262135922277E-2</c:v>
                </c:pt>
                <c:pt idx="100">
                  <c:v>4.4983818770226502E-2</c:v>
                </c:pt>
                <c:pt idx="101">
                  <c:v>4.0258899676375415E-2</c:v>
                </c:pt>
                <c:pt idx="102">
                  <c:v>3.5469255663430399E-2</c:v>
                </c:pt>
                <c:pt idx="103">
                  <c:v>3.0938511326860763E-2</c:v>
                </c:pt>
                <c:pt idx="104">
                  <c:v>2.6731391585760433E-2</c:v>
                </c:pt>
                <c:pt idx="105">
                  <c:v>2.2847896440129412E-2</c:v>
                </c:pt>
                <c:pt idx="106">
                  <c:v>1.9417475728155331E-2</c:v>
                </c:pt>
                <c:pt idx="107">
                  <c:v>1.5533980582524309E-2</c:v>
                </c:pt>
                <c:pt idx="108">
                  <c:v>1.2362459546925497E-2</c:v>
                </c:pt>
                <c:pt idx="109">
                  <c:v>1.0032362459546862E-2</c:v>
                </c:pt>
                <c:pt idx="110">
                  <c:v>7.6375404530744095E-3</c:v>
                </c:pt>
                <c:pt idx="111">
                  <c:v>5.8899676375403498E-3</c:v>
                </c:pt>
                <c:pt idx="112">
                  <c:v>4.3365695792879633E-3</c:v>
                </c:pt>
                <c:pt idx="113">
                  <c:v>2.9773462783171389E-3</c:v>
                </c:pt>
                <c:pt idx="114">
                  <c:v>2.006472491909328E-3</c:v>
                </c:pt>
                <c:pt idx="115">
                  <c:v>1.1650485436893732E-3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Table!$K$18:$K$136</c:f>
              <c:numCache>
                <c:formatCode>??0.000</c:formatCode>
                <c:ptCount val="119"/>
                <c:pt idx="0">
                  <c:v>2.9353670630806739E-3</c:v>
                </c:pt>
                <c:pt idx="1">
                  <c:v>3.1125903223782436E-3</c:v>
                </c:pt>
                <c:pt idx="2">
                  <c:v>3.5171728476453622E-3</c:v>
                </c:pt>
                <c:pt idx="3">
                  <c:v>3.9116012391041798E-3</c:v>
                </c:pt>
                <c:pt idx="4">
                  <c:v>4.2140072998146554E-3</c:v>
                </c:pt>
                <c:pt idx="5">
                  <c:v>4.5900314107654482E-3</c:v>
                </c:pt>
                <c:pt idx="6">
                  <c:v>5.0150811593066185E-3</c:v>
                </c:pt>
                <c:pt idx="7">
                  <c:v>5.4734498700656914E-3</c:v>
                </c:pt>
                <c:pt idx="8">
                  <c:v>5.9971857882091945E-3</c:v>
                </c:pt>
                <c:pt idx="9">
                  <c:v>6.5921607589285265E-3</c:v>
                </c:pt>
                <c:pt idx="10">
                  <c:v>7.1868182824370687E-3</c:v>
                </c:pt>
                <c:pt idx="11">
                  <c:v>7.8619161865932582E-3</c:v>
                </c:pt>
                <c:pt idx="12">
                  <c:v>8.6031749161608537E-3</c:v>
                </c:pt>
                <c:pt idx="13">
                  <c:v>9.3834648013241383E-3</c:v>
                </c:pt>
                <c:pt idx="14">
                  <c:v>1.0243401449108099E-2</c:v>
                </c:pt>
                <c:pt idx="15">
                  <c:v>1.1220112260051899E-2</c:v>
                </c:pt>
                <c:pt idx="16">
                  <c:v>1.2273931184138271E-2</c:v>
                </c:pt>
                <c:pt idx="17">
                  <c:v>1.3419613947419645E-2</c:v>
                </c:pt>
                <c:pt idx="18">
                  <c:v>1.4681912150255466E-2</c:v>
                </c:pt>
                <c:pt idx="19">
                  <c:v>1.6058921109380987E-2</c:v>
                </c:pt>
                <c:pt idx="20">
                  <c:v>1.7570474778013073E-2</c:v>
                </c:pt>
                <c:pt idx="21">
                  <c:v>1.9227836962885454E-2</c:v>
                </c:pt>
                <c:pt idx="22">
                  <c:v>2.0988802036294541E-2</c:v>
                </c:pt>
                <c:pt idx="23">
                  <c:v>2.3131980977160724E-2</c:v>
                </c:pt>
                <c:pt idx="24">
                  <c:v>2.5080007852881329E-2</c:v>
                </c:pt>
                <c:pt idx="25">
                  <c:v>2.7611584384357474E-2</c:v>
                </c:pt>
                <c:pt idx="26">
                  <c:v>3.0130310801254154E-2</c:v>
                </c:pt>
                <c:pt idx="27">
                  <c:v>3.2844347078693582E-2</c:v>
                </c:pt>
                <c:pt idx="28">
                  <c:v>3.5957887886287759E-2</c:v>
                </c:pt>
                <c:pt idx="29">
                  <c:v>3.9450943331839086E-2</c:v>
                </c:pt>
                <c:pt idx="30">
                  <c:v>4.3127572373216128E-2</c:v>
                </c:pt>
                <c:pt idx="31">
                  <c:v>4.7314288959089117E-2</c:v>
                </c:pt>
                <c:pt idx="32">
                  <c:v>5.1781201903520022E-2</c:v>
                </c:pt>
                <c:pt idx="33">
                  <c:v>5.6451036015886885E-2</c:v>
                </c:pt>
                <c:pt idx="34">
                  <c:v>6.1035831404090732E-2</c:v>
                </c:pt>
                <c:pt idx="35">
                  <c:v>6.6040106363315421E-2</c:v>
                </c:pt>
                <c:pt idx="36">
                  <c:v>7.2257995004305922E-2</c:v>
                </c:pt>
                <c:pt idx="37">
                  <c:v>8.1113992490447442E-2</c:v>
                </c:pt>
                <c:pt idx="38">
                  <c:v>8.6899432635185653E-2</c:v>
                </c:pt>
                <c:pt idx="39">
                  <c:v>9.69908381320677E-2</c:v>
                </c:pt>
                <c:pt idx="40">
                  <c:v>0.10548225028124138</c:v>
                </c:pt>
                <c:pt idx="41">
                  <c:v>0.11488012829978526</c:v>
                </c:pt>
                <c:pt idx="42">
                  <c:v>0.12465667071755797</c:v>
                </c:pt>
                <c:pt idx="43">
                  <c:v>0.1372143625798139</c:v>
                </c:pt>
                <c:pt idx="44">
                  <c:v>0.14942805305055953</c:v>
                </c:pt>
                <c:pt idx="45">
                  <c:v>0.16513352917801336</c:v>
                </c:pt>
                <c:pt idx="46">
                  <c:v>0.17883622899617563</c:v>
                </c:pt>
                <c:pt idx="47">
                  <c:v>0.19893870913786191</c:v>
                </c:pt>
                <c:pt idx="48">
                  <c:v>0.21614620437912549</c:v>
                </c:pt>
                <c:pt idx="49">
                  <c:v>0.23490544099205729</c:v>
                </c:pt>
                <c:pt idx="50">
                  <c:v>0.25860005723739016</c:v>
                </c:pt>
                <c:pt idx="51">
                  <c:v>0.28213172467351649</c:v>
                </c:pt>
                <c:pt idx="52">
                  <c:v>0.30780397392391312</c:v>
                </c:pt>
                <c:pt idx="53">
                  <c:v>0.33882804899327301</c:v>
                </c:pt>
                <c:pt idx="54">
                  <c:v>0.37064580892060001</c:v>
                </c:pt>
                <c:pt idx="55">
                  <c:v>0.40605818512393388</c:v>
                </c:pt>
                <c:pt idx="56">
                  <c:v>0.44422533480700882</c:v>
                </c:pt>
                <c:pt idx="57">
                  <c:v>0.48736203703626402</c:v>
                </c:pt>
                <c:pt idx="58">
                  <c:v>0.53073561800292746</c:v>
                </c:pt>
                <c:pt idx="59">
                  <c:v>0.58223528321522167</c:v>
                </c:pt>
                <c:pt idx="60">
                  <c:v>0.63619100222548719</c:v>
                </c:pt>
                <c:pt idx="61">
                  <c:v>0.69649673474742357</c:v>
                </c:pt>
                <c:pt idx="62">
                  <c:v>0.76206708606976137</c:v>
                </c:pt>
                <c:pt idx="63">
                  <c:v>0.83438528837196413</c:v>
                </c:pt>
                <c:pt idx="64">
                  <c:v>0.91095881298589898</c:v>
                </c:pt>
                <c:pt idx="65">
                  <c:v>0.99778551865073428</c:v>
                </c:pt>
                <c:pt idx="66">
                  <c:v>1.0951973029228084</c:v>
                </c:pt>
                <c:pt idx="67">
                  <c:v>1.1941355664516708</c:v>
                </c:pt>
                <c:pt idx="68">
                  <c:v>1.3076227883701694</c:v>
                </c:pt>
                <c:pt idx="69">
                  <c:v>1.4285309236120654</c:v>
                </c:pt>
                <c:pt idx="70">
                  <c:v>1.5642217177960644</c:v>
                </c:pt>
                <c:pt idx="71">
                  <c:v>1.7126756274596129</c:v>
                </c:pt>
                <c:pt idx="72">
                  <c:v>1.8742041741322331</c:v>
                </c:pt>
                <c:pt idx="73">
                  <c:v>2.0425193040572678</c:v>
                </c:pt>
                <c:pt idx="74">
                  <c:v>2.2334130914761401</c:v>
                </c:pt>
                <c:pt idx="75">
                  <c:v>2.449446262371227</c:v>
                </c:pt>
                <c:pt idx="76">
                  <c:v>2.6833342980476171</c:v>
                </c:pt>
                <c:pt idx="77">
                  <c:v>2.9392481652541282</c:v>
                </c:pt>
                <c:pt idx="78">
                  <c:v>3.2105760512074264</c:v>
                </c:pt>
                <c:pt idx="79">
                  <c:v>3.5266380486060074</c:v>
                </c:pt>
                <c:pt idx="80">
                  <c:v>3.8511370280238175</c:v>
                </c:pt>
                <c:pt idx="81">
                  <c:v>4.2008333705160146</c:v>
                </c:pt>
                <c:pt idx="82">
                  <c:v>4.6098176540798619</c:v>
                </c:pt>
                <c:pt idx="83">
                  <c:v>5.0386266830350328</c:v>
                </c:pt>
                <c:pt idx="84">
                  <c:v>5.5048938591075185</c:v>
                </c:pt>
                <c:pt idx="85">
                  <c:v>6.0314227483553786</c:v>
                </c:pt>
                <c:pt idx="86">
                  <c:v>6.5957215438713792</c:v>
                </c:pt>
                <c:pt idx="87">
                  <c:v>7.2204859316415693</c:v>
                </c:pt>
                <c:pt idx="88">
                  <c:v>7.8984451750066729</c:v>
                </c:pt>
                <c:pt idx="89">
                  <c:v>8.6343825908158696</c:v>
                </c:pt>
                <c:pt idx="90">
                  <c:v>9.4332102866651031</c:v>
                </c:pt>
                <c:pt idx="91">
                  <c:v>10.328853456124065</c:v>
                </c:pt>
                <c:pt idx="92">
                  <c:v>11.304138732311273</c:v>
                </c:pt>
                <c:pt idx="93">
                  <c:v>12.371309315293169</c:v>
                </c:pt>
                <c:pt idx="94">
                  <c:v>13.520810927679184</c:v>
                </c:pt>
                <c:pt idx="95">
                  <c:v>14.80660451614828</c:v>
                </c:pt>
                <c:pt idx="96">
                  <c:v>16.187544526187924</c:v>
                </c:pt>
                <c:pt idx="97">
                  <c:v>17.706482633273243</c:v>
                </c:pt>
                <c:pt idx="98">
                  <c:v>19.380612164475256</c:v>
                </c:pt>
                <c:pt idx="99">
                  <c:v>21.210514816746105</c:v>
                </c:pt>
                <c:pt idx="100">
                  <c:v>23.155650494655823</c:v>
                </c:pt>
                <c:pt idx="101">
                  <c:v>25.297956726729129</c:v>
                </c:pt>
                <c:pt idx="102">
                  <c:v>27.823601250269974</c:v>
                </c:pt>
                <c:pt idx="103">
                  <c:v>30.357585331095422</c:v>
                </c:pt>
                <c:pt idx="104">
                  <c:v>33.276126225435227</c:v>
                </c:pt>
                <c:pt idx="105">
                  <c:v>36.390459470375525</c:v>
                </c:pt>
                <c:pt idx="106">
                  <c:v>39.699079497334274</c:v>
                </c:pt>
                <c:pt idx="107">
                  <c:v>43.399660617639505</c:v>
                </c:pt>
                <c:pt idx="108">
                  <c:v>47.488256416674673</c:v>
                </c:pt>
                <c:pt idx="109">
                  <c:v>51.966813488162003</c:v>
                </c:pt>
                <c:pt idx="110">
                  <c:v>57.027166362262825</c:v>
                </c:pt>
                <c:pt idx="111">
                  <c:v>62.277487013560908</c:v>
                </c:pt>
                <c:pt idx="112">
                  <c:v>68.10744396506189</c:v>
                </c:pt>
                <c:pt idx="113">
                  <c:v>74.531393345467251</c:v>
                </c:pt>
                <c:pt idx="114">
                  <c:v>81.52215888148298</c:v>
                </c:pt>
                <c:pt idx="115">
                  <c:v>89.107631611285456</c:v>
                </c:pt>
                <c:pt idx="116">
                  <c:v>97.469217341246804</c:v>
                </c:pt>
                <c:pt idx="117">
                  <c:v>106.60975992313308</c:v>
                </c:pt>
                <c:pt idx="118">
                  <c:v>115.71568963539598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795392"/>
        <c:axId val="170797696"/>
      </c:scatterChart>
      <c:valAx>
        <c:axId val="170795392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2145365047362159"/>
              <c:y val="0.9297658862876256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170797696"/>
        <c:crossesAt val="0"/>
        <c:crossBetween val="midCat"/>
        <c:majorUnit val="0.2"/>
        <c:minorUnit val="0.1"/>
      </c:valAx>
      <c:valAx>
        <c:axId val="170797696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Leverett J Function.</a:t>
                </a:r>
              </a:p>
            </c:rich>
          </c:tx>
          <c:layout>
            <c:manualLayout>
              <c:xMode val="edge"/>
              <c:yMode val="edge"/>
              <c:x val="5.5363321799309036E-2"/>
              <c:y val="0.3311036789297744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170795392"/>
        <c:crosses val="autoZero"/>
        <c:crossBetween val="midCat"/>
        <c:majorUnit val="0.4"/>
        <c:minorUnit val="0.2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619718309859155"/>
          <c:y val="5.369136314257017E-2"/>
          <c:w val="0.79577464788732399"/>
          <c:h val="0.81320051436523455"/>
        </c:manualLayout>
      </c:layout>
      <c:scatterChart>
        <c:scatterStyle val="lineMarker"/>
        <c:varyColors val="0"/>
        <c:ser>
          <c:idx val="2"/>
          <c:order val="0"/>
          <c:tx>
            <c:v>Uncorrected</c:v>
          </c:tx>
          <c:spPr>
            <a:ln w="12700">
              <a:solidFill>
                <a:srgbClr val="99CCFF"/>
              </a:solidFill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xVal>
            <c:numRef>
              <c:f>'Raw Data'!$D$18:$D$136</c:f>
              <c:numCache>
                <c:formatCode>0.000</c:formatCode>
                <c:ptCount val="119"/>
                <c:pt idx="0">
                  <c:v>0</c:v>
                </c:pt>
                <c:pt idx="1">
                  <c:v>9.9120677896631692E-4</c:v>
                </c:pt>
                <c:pt idx="2">
                  <c:v>1.7841722724903373E-3</c:v>
                </c:pt>
                <c:pt idx="3">
                  <c:v>5.3128684196806202E-3</c:v>
                </c:pt>
                <c:pt idx="4">
                  <c:v>7.7710615785818553E-3</c:v>
                </c:pt>
                <c:pt idx="5">
                  <c:v>1.0467143248199669E-2</c:v>
                </c:pt>
                <c:pt idx="6">
                  <c:v>1.4035487793180342E-2</c:v>
                </c:pt>
                <c:pt idx="7">
                  <c:v>1.7326294960647602E-2</c:v>
                </c:pt>
                <c:pt idx="8">
                  <c:v>2.1846196362533255E-2</c:v>
                </c:pt>
                <c:pt idx="9">
                  <c:v>2.481981916171604E-2</c:v>
                </c:pt>
                <c:pt idx="10">
                  <c:v>2.6326451711660745E-2</c:v>
                </c:pt>
                <c:pt idx="11">
                  <c:v>2.7278011382604394E-2</c:v>
                </c:pt>
                <c:pt idx="12">
                  <c:v>2.803132953360252E-2</c:v>
                </c:pt>
                <c:pt idx="13">
                  <c:v>2.8467458626251729E-2</c:v>
                </c:pt>
                <c:pt idx="14">
                  <c:v>2.898288732852039E-2</c:v>
                </c:pt>
                <c:pt idx="15">
                  <c:v>2.9260424706033804E-2</c:v>
                </c:pt>
                <c:pt idx="16">
                  <c:v>2.9617259817140893E-2</c:v>
                </c:pt>
                <c:pt idx="17">
                  <c:v>2.9855149265870361E-2</c:v>
                </c:pt>
                <c:pt idx="18">
                  <c:v>3.0132688519409551E-2</c:v>
                </c:pt>
                <c:pt idx="19">
                  <c:v>3.0449871949681139E-2</c:v>
                </c:pt>
                <c:pt idx="20">
                  <c:v>3.0727411203220333E-2</c:v>
                </c:pt>
                <c:pt idx="21">
                  <c:v>3.0965300651949801E-2</c:v>
                </c:pt>
                <c:pt idx="22">
                  <c:v>3.1084246314327421E-2</c:v>
                </c:pt>
                <c:pt idx="23">
                  <c:v>3.136178181581506E-2</c:v>
                </c:pt>
                <c:pt idx="24">
                  <c:v>3.1560025211786358E-2</c:v>
                </c:pt>
                <c:pt idx="25">
                  <c:v>3.1758268607757649E-2</c:v>
                </c:pt>
                <c:pt idx="26">
                  <c:v>3.1877208642057939E-2</c:v>
                </c:pt>
                <c:pt idx="27">
                  <c:v>3.207545203802923E-2</c:v>
                </c:pt>
                <c:pt idx="28">
                  <c:v>3.2313343362784477E-2</c:v>
                </c:pt>
                <c:pt idx="29">
                  <c:v>3.2551230935488167E-2</c:v>
                </c:pt>
                <c:pt idx="30">
                  <c:v>3.2749474331459465E-2</c:v>
                </c:pt>
                <c:pt idx="31">
                  <c:v>3.2947713975379211E-2</c:v>
                </c:pt>
                <c:pt idx="32">
                  <c:v>3.301030635635168E-2</c:v>
                </c:pt>
                <c:pt idx="33">
                  <c:v>3.3385860642186481E-2</c:v>
                </c:pt>
                <c:pt idx="34">
                  <c:v>3.3385860642186481E-2</c:v>
                </c:pt>
                <c:pt idx="35">
                  <c:v>3.3385860642186481E-2</c:v>
                </c:pt>
                <c:pt idx="36">
                  <c:v>3.3385860642186481E-2</c:v>
                </c:pt>
                <c:pt idx="37">
                  <c:v>3.3385860642186481E-2</c:v>
                </c:pt>
                <c:pt idx="38">
                  <c:v>3.3385860642186481E-2</c:v>
                </c:pt>
                <c:pt idx="39">
                  <c:v>3.3511045404131412E-2</c:v>
                </c:pt>
                <c:pt idx="40">
                  <c:v>3.382400730899375E-2</c:v>
                </c:pt>
                <c:pt idx="41">
                  <c:v>3.4136969213856089E-2</c:v>
                </c:pt>
                <c:pt idx="42">
                  <c:v>3.4825485404553234E-2</c:v>
                </c:pt>
                <c:pt idx="43">
                  <c:v>3.6014740643030112E-2</c:v>
                </c:pt>
                <c:pt idx="44">
                  <c:v>3.7829919691231666E-2</c:v>
                </c:pt>
                <c:pt idx="45">
                  <c:v>4.1084723501799966E-2</c:v>
                </c:pt>
                <c:pt idx="46">
                  <c:v>4.6530260646404628E-2</c:v>
                </c:pt>
                <c:pt idx="47">
                  <c:v>5.817244350728356E-2</c:v>
                </c:pt>
                <c:pt idx="48">
                  <c:v>8.3584950182105308E-2</c:v>
                </c:pt>
                <c:pt idx="49">
                  <c:v>0.12533406829074106</c:v>
                </c:pt>
                <c:pt idx="50">
                  <c:v>0.19036755212113463</c:v>
                </c:pt>
                <c:pt idx="51">
                  <c:v>0.26698062643143466</c:v>
                </c:pt>
                <c:pt idx="52">
                  <c:v>0.34866368360050459</c:v>
                </c:pt>
                <c:pt idx="53">
                  <c:v>0.40130387599834971</c:v>
                </c:pt>
                <c:pt idx="54">
                  <c:v>0.43078488743638182</c:v>
                </c:pt>
                <c:pt idx="55">
                  <c:v>0.45676072553995578</c:v>
                </c:pt>
                <c:pt idx="56">
                  <c:v>0.48073360745241078</c:v>
                </c:pt>
                <c:pt idx="57">
                  <c:v>0.50188983222110473</c:v>
                </c:pt>
                <c:pt idx="58">
                  <c:v>0.52098050841770727</c:v>
                </c:pt>
                <c:pt idx="59">
                  <c:v>0.53913229889972281</c:v>
                </c:pt>
                <c:pt idx="60">
                  <c:v>0.55590705700034404</c:v>
                </c:pt>
                <c:pt idx="61">
                  <c:v>0.57186811414832328</c:v>
                </c:pt>
                <c:pt idx="62">
                  <c:v>0.58732843224852271</c:v>
                </c:pt>
                <c:pt idx="63">
                  <c:v>0.60228801130094234</c:v>
                </c:pt>
                <c:pt idx="64">
                  <c:v>0.61680944368655477</c:v>
                </c:pt>
                <c:pt idx="65">
                  <c:v>0.63064235988146999</c:v>
                </c:pt>
                <c:pt idx="66">
                  <c:v>0.64466305321930273</c:v>
                </c:pt>
                <c:pt idx="67">
                  <c:v>0.65805782274741076</c:v>
                </c:pt>
                <c:pt idx="68">
                  <c:v>0.6713899998945464</c:v>
                </c:pt>
                <c:pt idx="69">
                  <c:v>0.68415884561292972</c:v>
                </c:pt>
                <c:pt idx="70">
                  <c:v>0.69692769133131305</c:v>
                </c:pt>
                <c:pt idx="71">
                  <c:v>0.70907061323997178</c:v>
                </c:pt>
                <c:pt idx="72">
                  <c:v>0.72108835038668539</c:v>
                </c:pt>
                <c:pt idx="73">
                  <c:v>0.73222979419978462</c:v>
                </c:pt>
                <c:pt idx="74">
                  <c:v>0.74368419991774615</c:v>
                </c:pt>
                <c:pt idx="75">
                  <c:v>0.75495082849279027</c:v>
                </c:pt>
                <c:pt idx="76">
                  <c:v>0.7659670875439446</c:v>
                </c:pt>
                <c:pt idx="77">
                  <c:v>0.77642001516634662</c:v>
                </c:pt>
                <c:pt idx="78">
                  <c:v>0.78630961135999644</c:v>
                </c:pt>
                <c:pt idx="79">
                  <c:v>0.79651216945850867</c:v>
                </c:pt>
                <c:pt idx="80">
                  <c:v>0.80608880374729619</c:v>
                </c:pt>
                <c:pt idx="81">
                  <c:v>0.8151646989883039</c:v>
                </c:pt>
                <c:pt idx="82">
                  <c:v>0.82449096375320152</c:v>
                </c:pt>
                <c:pt idx="83">
                  <c:v>0.83337908185129184</c:v>
                </c:pt>
                <c:pt idx="84">
                  <c:v>0.84201683042549236</c:v>
                </c:pt>
                <c:pt idx="85">
                  <c:v>0.85090494852358278</c:v>
                </c:pt>
                <c:pt idx="86">
                  <c:v>0.8591671428119485</c:v>
                </c:pt>
                <c:pt idx="87">
                  <c:v>0.86736674471934161</c:v>
                </c:pt>
                <c:pt idx="88">
                  <c:v>0.87544116186479004</c:v>
                </c:pt>
                <c:pt idx="89">
                  <c:v>0.88364076377218315</c:v>
                </c:pt>
                <c:pt idx="90">
                  <c:v>0.89146481139374156</c:v>
                </c:pt>
                <c:pt idx="91">
                  <c:v>0.89922626663432748</c:v>
                </c:pt>
                <c:pt idx="92">
                  <c:v>0.9064869828271338</c:v>
                </c:pt>
                <c:pt idx="93">
                  <c:v>0.91399806854382981</c:v>
                </c:pt>
                <c:pt idx="94">
                  <c:v>0.92107100759371874</c:v>
                </c:pt>
                <c:pt idx="95">
                  <c:v>0.92770579997680025</c:v>
                </c:pt>
                <c:pt idx="96">
                  <c:v>0.93415281521696436</c:v>
                </c:pt>
                <c:pt idx="97">
                  <c:v>0.94066242283810098</c:v>
                </c:pt>
                <c:pt idx="98">
                  <c:v>0.94592018283978818</c:v>
                </c:pt>
                <c:pt idx="99">
                  <c:v>0.9513657199843929</c:v>
                </c:pt>
                <c:pt idx="100">
                  <c:v>0.95649829522413521</c:v>
                </c:pt>
                <c:pt idx="101">
                  <c:v>0.96106753903512532</c:v>
                </c:pt>
                <c:pt idx="102">
                  <c:v>0.96569937522708793</c:v>
                </c:pt>
                <c:pt idx="103">
                  <c:v>0.97008084189516075</c:v>
                </c:pt>
                <c:pt idx="104">
                  <c:v>0.97414934665837105</c:v>
                </c:pt>
                <c:pt idx="105">
                  <c:v>0.97790488951671906</c:v>
                </c:pt>
                <c:pt idx="106">
                  <c:v>0.98122228570825976</c:v>
                </c:pt>
                <c:pt idx="107">
                  <c:v>0.98497782856660787</c:v>
                </c:pt>
                <c:pt idx="108">
                  <c:v>0.98804485523425878</c:v>
                </c:pt>
                <c:pt idx="109">
                  <c:v>0.99029818094926769</c:v>
                </c:pt>
                <c:pt idx="110">
                  <c:v>0.99261409904524878</c:v>
                </c:pt>
                <c:pt idx="111">
                  <c:v>0.99430409333150549</c:v>
                </c:pt>
                <c:pt idx="112">
                  <c:v>0.99580631047484469</c:v>
                </c:pt>
                <c:pt idx="113">
                  <c:v>0.99712075047526649</c:v>
                </c:pt>
                <c:pt idx="114">
                  <c:v>0.99805963618985361</c:v>
                </c:pt>
                <c:pt idx="115">
                  <c:v>0.9988733371424956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2.9231225246459207</c:v>
                </c:pt>
                <c:pt idx="35">
                  <c:v>2.7016191131832614</c:v>
                </c:pt>
                <c:pt idx="36">
                  <c:v>2.4691414919159675</c:v>
                </c:pt>
                <c:pt idx="37">
                  <c:v>2.1995614826726708</c:v>
                </c:pt>
                <c:pt idx="38">
                  <c:v>2.0531228821343079</c:v>
                </c:pt>
                <c:pt idx="39">
                  <c:v>1.8395058443030379</c:v>
                </c:pt>
                <c:pt idx="40">
                  <c:v>1.6914240368601354</c:v>
                </c:pt>
                <c:pt idx="41">
                  <c:v>1.5530554868654509</c:v>
                </c:pt>
                <c:pt idx="42">
                  <c:v>1.4312528367778601</c:v>
                </c:pt>
                <c:pt idx="43">
                  <c:v>1.3002663149348461</c:v>
                </c:pt>
                <c:pt idx="44">
                  <c:v>1.193987406952435</c:v>
                </c:pt>
                <c:pt idx="45">
                  <c:v>1.0804299676503464</c:v>
                </c:pt>
                <c:pt idx="46">
                  <c:v>0.99764580470774644</c:v>
                </c:pt>
                <c:pt idx="47">
                  <c:v>0.89683508232753772</c:v>
                </c:pt>
                <c:pt idx="48">
                  <c:v>0.82543764347045412</c:v>
                </c:pt>
                <c:pt idx="49">
                  <c:v>0.75951928926934098</c:v>
                </c:pt>
                <c:pt idx="50">
                  <c:v>0.68992720068892543</c:v>
                </c:pt>
                <c:pt idx="51">
                  <c:v>0.63238267087563793</c:v>
                </c:pt>
                <c:pt idx="52">
                  <c:v>0.57963908429555033</c:v>
                </c:pt>
                <c:pt idx="53">
                  <c:v>0.52656565511000741</c:v>
                </c:pt>
                <c:pt idx="54">
                  <c:v>0.4813630946141596</c:v>
                </c:pt>
                <c:pt idx="55">
                  <c:v>0.43938336948763634</c:v>
                </c:pt>
                <c:pt idx="56">
                  <c:v>0.40163223393213254</c:v>
                </c:pt>
                <c:pt idx="57">
                  <c:v>0.36608352729474669</c:v>
                </c:pt>
                <c:pt idx="58">
                  <c:v>0.33616589415863246</c:v>
                </c:pt>
                <c:pt idx="59">
                  <c:v>0.30643146977033642</c:v>
                </c:pt>
                <c:pt idx="60">
                  <c:v>0.28044284336569758</c:v>
                </c:pt>
                <c:pt idx="61">
                  <c:v>0.25616087583309155</c:v>
                </c:pt>
                <c:pt idx="62">
                  <c:v>0.23412008843989879</c:v>
                </c:pt>
                <c:pt idx="63">
                  <c:v>0.21382833095716333</c:v>
                </c:pt>
                <c:pt idx="64">
                  <c:v>0.19585431420657456</c:v>
                </c:pt>
                <c:pt idx="65">
                  <c:v>0.17881118762783035</c:v>
                </c:pt>
                <c:pt idx="66">
                  <c:v>0.16290691468253507</c:v>
                </c:pt>
                <c:pt idx="67">
                  <c:v>0.14940951312416109</c:v>
                </c:pt>
                <c:pt idx="68">
                  <c:v>0.13644241686103262</c:v>
                </c:pt>
                <c:pt idx="69">
                  <c:v>0.12489419069533511</c:v>
                </c:pt>
                <c:pt idx="70">
                  <c:v>0.11406005399232629</c:v>
                </c:pt>
                <c:pt idx="71">
                  <c:v>0.10417338270436485</c:v>
                </c:pt>
                <c:pt idx="72">
                  <c:v>9.5195185268646468E-2</c:v>
                </c:pt>
                <c:pt idx="73">
                  <c:v>8.7350564194611957E-2</c:v>
                </c:pt>
                <c:pt idx="74">
                  <c:v>7.9884556183857439E-2</c:v>
                </c:pt>
                <c:pt idx="75">
                  <c:v>7.2838998890741399E-2</c:v>
                </c:pt>
                <c:pt idx="76">
                  <c:v>6.6490117805151086E-2</c:v>
                </c:pt>
                <c:pt idx="77">
                  <c:v>6.0700969621040025E-2</c:v>
                </c:pt>
                <c:pt idx="78">
                  <c:v>5.5571090901488054E-2</c:v>
                </c:pt>
                <c:pt idx="79">
                  <c:v>5.0590735745708749E-2</c:v>
                </c:pt>
                <c:pt idx="80">
                  <c:v>4.6327931800271699E-2</c:v>
                </c:pt>
                <c:pt idx="81">
                  <c:v>4.2471385520790751E-2</c:v>
                </c:pt>
                <c:pt idx="82">
                  <c:v>3.8703312576774986E-2</c:v>
                </c:pt>
                <c:pt idx="83">
                  <c:v>3.5409492469150247E-2</c:v>
                </c:pt>
                <c:pt idx="84">
                  <c:v>3.2410291306999704E-2</c:v>
                </c:pt>
                <c:pt idx="85">
                  <c:v>2.958094980764496E-2</c:v>
                </c:pt>
                <c:pt idx="86">
                  <c:v>2.7050143399939094E-2</c:v>
                </c:pt>
                <c:pt idx="87">
                  <c:v>2.4709585376510239E-2</c:v>
                </c:pt>
                <c:pt idx="88">
                  <c:v>2.258864999814824E-2</c:v>
                </c:pt>
                <c:pt idx="89">
                  <c:v>2.0663343523550058E-2</c:v>
                </c:pt>
                <c:pt idx="90">
                  <c:v>1.8913520229692993E-2</c:v>
                </c:pt>
                <c:pt idx="91">
                  <c:v>1.7273477094595101E-2</c:v>
                </c:pt>
                <c:pt idx="92">
                  <c:v>1.5783176216496168E-2</c:v>
                </c:pt>
                <c:pt idx="93">
                  <c:v>1.4421692081309058E-2</c:v>
                </c:pt>
                <c:pt idx="94">
                  <c:v>1.3195600067341006E-2</c:v>
                </c:pt>
                <c:pt idx="95">
                  <c:v>1.2049704805258117E-2</c:v>
                </c:pt>
                <c:pt idx="96">
                  <c:v>1.1021758939359302E-2</c:v>
                </c:pt>
                <c:pt idx="97">
                  <c:v>1.0076265133116751E-2</c:v>
                </c:pt>
                <c:pt idx="98">
                  <c:v>9.2058605824032903E-3</c:v>
                </c:pt>
                <c:pt idx="99">
                  <c:v>8.4116399403434683E-3</c:v>
                </c:pt>
                <c:pt idx="100">
                  <c:v>7.7050400129750436E-3</c:v>
                </c:pt>
                <c:pt idx="101">
                  <c:v>7.0525543036952009E-3</c:v>
                </c:pt>
                <c:pt idx="102">
                  <c:v>6.412369555722313E-3</c:v>
                </c:pt>
                <c:pt idx="103">
                  <c:v>5.8771213731889579E-3</c:v>
                </c:pt>
                <c:pt idx="104">
                  <c:v>5.3616581563335174E-3</c:v>
                </c:pt>
                <c:pt idx="105">
                  <c:v>4.9028018932553291E-3</c:v>
                </c:pt>
                <c:pt idx="106">
                  <c:v>4.4941901889631658E-3</c:v>
                </c:pt>
                <c:pt idx="107">
                  <c:v>4.1109817691816876E-3</c:v>
                </c:pt>
                <c:pt idx="108">
                  <c:v>3.757038624924984E-3</c:v>
                </c:pt>
                <c:pt idx="109">
                  <c:v>3.4332529091557888E-3</c:v>
                </c:pt>
                <c:pt idx="110">
                  <c:v>3.1286003666114643E-3</c:v>
                </c:pt>
                <c:pt idx="111">
                  <c:v>2.864842853227822E-3</c:v>
                </c:pt>
                <c:pt idx="112">
                  <c:v>2.6196139981308477E-3</c:v>
                </c:pt>
                <c:pt idx="113">
                  <c:v>2.393826353960671E-3</c:v>
                </c:pt>
                <c:pt idx="114">
                  <c:v>2.1885486846241245E-3</c:v>
                </c:pt>
                <c:pt idx="115">
                  <c:v>2.0022439196464088E-3</c:v>
                </c:pt>
                <c:pt idx="116">
                  <c:v>1.8304775441372822E-3</c:v>
                </c:pt>
                <c:pt idx="117">
                  <c:v>1.6735354597592937E-3</c:v>
                </c:pt>
                <c:pt idx="118">
                  <c:v>1.5418411638901343E-3</c:v>
                </c:pt>
              </c:numCache>
            </c:numRef>
          </c:yVal>
          <c:smooth val="0"/>
        </c:ser>
        <c:ser>
          <c:idx val="0"/>
          <c:order val="1"/>
          <c:tx>
            <c:v>Conformance Corrected</c:v>
          </c:tx>
          <c:spPr>
            <a:ln w="12700"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Table!$B$18:$B$136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6.4724919093851142E-5</c:v>
                </c:pt>
                <c:pt idx="33">
                  <c:v>4.5307443365695792E-4</c:v>
                </c:pt>
                <c:pt idx="34">
                  <c:v>4.5307443365695792E-4</c:v>
                </c:pt>
                <c:pt idx="35">
                  <c:v>4.5307443365695792E-4</c:v>
                </c:pt>
                <c:pt idx="36">
                  <c:v>4.5307443365695792E-4</c:v>
                </c:pt>
                <c:pt idx="37">
                  <c:v>4.5307443365695792E-4</c:v>
                </c:pt>
                <c:pt idx="38">
                  <c:v>4.5307443365695792E-4</c:v>
                </c:pt>
                <c:pt idx="39">
                  <c:v>5.8252427184466023E-4</c:v>
                </c:pt>
                <c:pt idx="40">
                  <c:v>9.0614886731391585E-4</c:v>
                </c:pt>
                <c:pt idx="41">
                  <c:v>1.2297734627831716E-3</c:v>
                </c:pt>
                <c:pt idx="42">
                  <c:v>1.9417475728155341E-3</c:v>
                </c:pt>
                <c:pt idx="43">
                  <c:v>3.1715210355987055E-3</c:v>
                </c:pt>
                <c:pt idx="44">
                  <c:v>5.0485436893203881E-3</c:v>
                </c:pt>
                <c:pt idx="45">
                  <c:v>8.4142394822006479E-3</c:v>
                </c:pt>
                <c:pt idx="46">
                  <c:v>1.4045307443365697E-2</c:v>
                </c:pt>
                <c:pt idx="47">
                  <c:v>2.608414239482201E-2</c:v>
                </c:pt>
                <c:pt idx="48">
                  <c:v>5.2362459546925567E-2</c:v>
                </c:pt>
                <c:pt idx="49">
                  <c:v>9.5533980582524283E-2</c:v>
                </c:pt>
                <c:pt idx="50">
                  <c:v>0.16278317152103561</c:v>
                </c:pt>
                <c:pt idx="51">
                  <c:v>0.2420064724919094</c:v>
                </c:pt>
                <c:pt idx="52">
                  <c:v>0.3264724919093851</c:v>
                </c:pt>
                <c:pt idx="53">
                  <c:v>0.38090614886731394</c:v>
                </c:pt>
                <c:pt idx="54">
                  <c:v>0.41139158576051787</c:v>
                </c:pt>
                <c:pt idx="55">
                  <c:v>0.43825242718446605</c:v>
                </c:pt>
                <c:pt idx="56">
                  <c:v>0.46304207119741103</c:v>
                </c:pt>
                <c:pt idx="57">
                  <c:v>0.48491909385113269</c:v>
                </c:pt>
                <c:pt idx="58">
                  <c:v>0.50466019417475727</c:v>
                </c:pt>
                <c:pt idx="59">
                  <c:v>0.5234304207119741</c:v>
                </c:pt>
                <c:pt idx="60">
                  <c:v>0.54077669902912628</c:v>
                </c:pt>
                <c:pt idx="61">
                  <c:v>0.55728155339805829</c:v>
                </c:pt>
                <c:pt idx="62">
                  <c:v>0.57326860841423954</c:v>
                </c:pt>
                <c:pt idx="63">
                  <c:v>0.58873786407766993</c:v>
                </c:pt>
                <c:pt idx="64">
                  <c:v>0.60375404530744337</c:v>
                </c:pt>
                <c:pt idx="65">
                  <c:v>0.61805825242718448</c:v>
                </c:pt>
                <c:pt idx="66">
                  <c:v>0.63255663430420717</c:v>
                </c:pt>
                <c:pt idx="67">
                  <c:v>0.64640776699029134</c:v>
                </c:pt>
                <c:pt idx="68">
                  <c:v>0.66019417475728159</c:v>
                </c:pt>
                <c:pt idx="69">
                  <c:v>0.67339805825242716</c:v>
                </c:pt>
                <c:pt idx="70">
                  <c:v>0.68660194174757283</c:v>
                </c:pt>
                <c:pt idx="71">
                  <c:v>0.69915857605178</c:v>
                </c:pt>
                <c:pt idx="72">
                  <c:v>0.71158576051779932</c:v>
                </c:pt>
                <c:pt idx="73">
                  <c:v>0.72310679611650486</c:v>
                </c:pt>
                <c:pt idx="74">
                  <c:v>0.7349514563106796</c:v>
                </c:pt>
                <c:pt idx="75">
                  <c:v>0.74660194174757288</c:v>
                </c:pt>
                <c:pt idx="76">
                  <c:v>0.75799352750809068</c:v>
                </c:pt>
                <c:pt idx="77">
                  <c:v>0.76880258899676379</c:v>
                </c:pt>
                <c:pt idx="78">
                  <c:v>0.77902912621359222</c:v>
                </c:pt>
                <c:pt idx="79">
                  <c:v>0.78957928802588995</c:v>
                </c:pt>
                <c:pt idx="80">
                  <c:v>0.79948220064724929</c:v>
                </c:pt>
                <c:pt idx="81">
                  <c:v>0.80886731391585764</c:v>
                </c:pt>
                <c:pt idx="82">
                  <c:v>0.81851132686084138</c:v>
                </c:pt>
                <c:pt idx="83">
                  <c:v>0.82770226537216829</c:v>
                </c:pt>
                <c:pt idx="84">
                  <c:v>0.83663430420711971</c:v>
                </c:pt>
                <c:pt idx="85">
                  <c:v>0.84582524271844661</c:v>
                </c:pt>
                <c:pt idx="86">
                  <c:v>0.85436893203883502</c:v>
                </c:pt>
                <c:pt idx="87">
                  <c:v>0.86284789644012949</c:v>
                </c:pt>
                <c:pt idx="88">
                  <c:v>0.87119741100323633</c:v>
                </c:pt>
                <c:pt idx="89">
                  <c:v>0.87967637540453081</c:v>
                </c:pt>
                <c:pt idx="90">
                  <c:v>0.88776699029126216</c:v>
                </c:pt>
                <c:pt idx="91">
                  <c:v>0.89579288025889969</c:v>
                </c:pt>
                <c:pt idx="92">
                  <c:v>0.90330097087378647</c:v>
                </c:pt>
                <c:pt idx="93">
                  <c:v>0.91106796116504851</c:v>
                </c:pt>
                <c:pt idx="94">
                  <c:v>0.91838187702265384</c:v>
                </c:pt>
                <c:pt idx="95">
                  <c:v>0.925242718446602</c:v>
                </c:pt>
                <c:pt idx="96">
                  <c:v>0.9319093851132686</c:v>
                </c:pt>
                <c:pt idx="97">
                  <c:v>0.93864077669902912</c:v>
                </c:pt>
                <c:pt idx="98">
                  <c:v>0.94407766990291264</c:v>
                </c:pt>
                <c:pt idx="99">
                  <c:v>0.94970873786407772</c:v>
                </c:pt>
                <c:pt idx="100">
                  <c:v>0.9550161812297735</c:v>
                </c:pt>
                <c:pt idx="101">
                  <c:v>0.95974110032362459</c:v>
                </c:pt>
                <c:pt idx="102">
                  <c:v>0.9645307443365696</c:v>
                </c:pt>
                <c:pt idx="103">
                  <c:v>0.96906148867313924</c:v>
                </c:pt>
                <c:pt idx="104">
                  <c:v>0.97326860841423957</c:v>
                </c:pt>
                <c:pt idx="105">
                  <c:v>0.97715210355987059</c:v>
                </c:pt>
                <c:pt idx="106">
                  <c:v>0.98058252427184467</c:v>
                </c:pt>
                <c:pt idx="107">
                  <c:v>0.98446601941747569</c:v>
                </c:pt>
                <c:pt idx="108">
                  <c:v>0.9876375404530745</c:v>
                </c:pt>
                <c:pt idx="109">
                  <c:v>0.98996763754045314</c:v>
                </c:pt>
                <c:pt idx="110">
                  <c:v>0.99236245954692559</c:v>
                </c:pt>
                <c:pt idx="111">
                  <c:v>0.99411003236245965</c:v>
                </c:pt>
                <c:pt idx="112">
                  <c:v>0.99566343042071204</c:v>
                </c:pt>
                <c:pt idx="113">
                  <c:v>0.99702265372168286</c:v>
                </c:pt>
                <c:pt idx="114">
                  <c:v>0.99799352750809067</c:v>
                </c:pt>
                <c:pt idx="115">
                  <c:v>0.99883495145631063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2.9231225246459207</c:v>
                </c:pt>
                <c:pt idx="35">
                  <c:v>2.7016191131832614</c:v>
                </c:pt>
                <c:pt idx="36">
                  <c:v>2.4691414919159675</c:v>
                </c:pt>
                <c:pt idx="37">
                  <c:v>2.1995614826726708</c:v>
                </c:pt>
                <c:pt idx="38">
                  <c:v>2.0531228821343079</c:v>
                </c:pt>
                <c:pt idx="39">
                  <c:v>1.8395058443030379</c:v>
                </c:pt>
                <c:pt idx="40">
                  <c:v>1.6914240368601354</c:v>
                </c:pt>
                <c:pt idx="41">
                  <c:v>1.5530554868654509</c:v>
                </c:pt>
                <c:pt idx="42">
                  <c:v>1.4312528367778601</c:v>
                </c:pt>
                <c:pt idx="43">
                  <c:v>1.3002663149348461</c:v>
                </c:pt>
                <c:pt idx="44">
                  <c:v>1.193987406952435</c:v>
                </c:pt>
                <c:pt idx="45">
                  <c:v>1.0804299676503464</c:v>
                </c:pt>
                <c:pt idx="46">
                  <c:v>0.99764580470774644</c:v>
                </c:pt>
                <c:pt idx="47">
                  <c:v>0.89683508232753772</c:v>
                </c:pt>
                <c:pt idx="48">
                  <c:v>0.82543764347045412</c:v>
                </c:pt>
                <c:pt idx="49">
                  <c:v>0.75951928926934098</c:v>
                </c:pt>
                <c:pt idx="50">
                  <c:v>0.68992720068892543</c:v>
                </c:pt>
                <c:pt idx="51">
                  <c:v>0.63238267087563793</c:v>
                </c:pt>
                <c:pt idx="52">
                  <c:v>0.57963908429555033</c:v>
                </c:pt>
                <c:pt idx="53">
                  <c:v>0.52656565511000741</c:v>
                </c:pt>
                <c:pt idx="54">
                  <c:v>0.4813630946141596</c:v>
                </c:pt>
                <c:pt idx="55">
                  <c:v>0.43938336948763634</c:v>
                </c:pt>
                <c:pt idx="56">
                  <c:v>0.40163223393213254</c:v>
                </c:pt>
                <c:pt idx="57">
                  <c:v>0.36608352729474669</c:v>
                </c:pt>
                <c:pt idx="58">
                  <c:v>0.33616589415863246</c:v>
                </c:pt>
                <c:pt idx="59">
                  <c:v>0.30643146977033642</c:v>
                </c:pt>
                <c:pt idx="60">
                  <c:v>0.28044284336569758</c:v>
                </c:pt>
                <c:pt idx="61">
                  <c:v>0.25616087583309155</c:v>
                </c:pt>
                <c:pt idx="62">
                  <c:v>0.23412008843989879</c:v>
                </c:pt>
                <c:pt idx="63">
                  <c:v>0.21382833095716333</c:v>
                </c:pt>
                <c:pt idx="64">
                  <c:v>0.19585431420657456</c:v>
                </c:pt>
                <c:pt idx="65">
                  <c:v>0.17881118762783035</c:v>
                </c:pt>
                <c:pt idx="66">
                  <c:v>0.16290691468253507</c:v>
                </c:pt>
                <c:pt idx="67">
                  <c:v>0.14940951312416109</c:v>
                </c:pt>
                <c:pt idx="68">
                  <c:v>0.13644241686103262</c:v>
                </c:pt>
                <c:pt idx="69">
                  <c:v>0.12489419069533511</c:v>
                </c:pt>
                <c:pt idx="70">
                  <c:v>0.11406005399232629</c:v>
                </c:pt>
                <c:pt idx="71">
                  <c:v>0.10417338270436485</c:v>
                </c:pt>
                <c:pt idx="72">
                  <c:v>9.5195185268646468E-2</c:v>
                </c:pt>
                <c:pt idx="73">
                  <c:v>8.7350564194611957E-2</c:v>
                </c:pt>
                <c:pt idx="74">
                  <c:v>7.9884556183857439E-2</c:v>
                </c:pt>
                <c:pt idx="75">
                  <c:v>7.2838998890741399E-2</c:v>
                </c:pt>
                <c:pt idx="76">
                  <c:v>6.6490117805151086E-2</c:v>
                </c:pt>
                <c:pt idx="77">
                  <c:v>6.0700969621040025E-2</c:v>
                </c:pt>
                <c:pt idx="78">
                  <c:v>5.5571090901488054E-2</c:v>
                </c:pt>
                <c:pt idx="79">
                  <c:v>5.0590735745708749E-2</c:v>
                </c:pt>
                <c:pt idx="80">
                  <c:v>4.6327931800271699E-2</c:v>
                </c:pt>
                <c:pt idx="81">
                  <c:v>4.2471385520790751E-2</c:v>
                </c:pt>
                <c:pt idx="82">
                  <c:v>3.8703312576774986E-2</c:v>
                </c:pt>
                <c:pt idx="83">
                  <c:v>3.5409492469150247E-2</c:v>
                </c:pt>
                <c:pt idx="84">
                  <c:v>3.2410291306999704E-2</c:v>
                </c:pt>
                <c:pt idx="85">
                  <c:v>2.958094980764496E-2</c:v>
                </c:pt>
                <c:pt idx="86">
                  <c:v>2.7050143399939094E-2</c:v>
                </c:pt>
                <c:pt idx="87">
                  <c:v>2.4709585376510239E-2</c:v>
                </c:pt>
                <c:pt idx="88">
                  <c:v>2.258864999814824E-2</c:v>
                </c:pt>
                <c:pt idx="89">
                  <c:v>2.0663343523550058E-2</c:v>
                </c:pt>
                <c:pt idx="90">
                  <c:v>1.8913520229692993E-2</c:v>
                </c:pt>
                <c:pt idx="91">
                  <c:v>1.7273477094595101E-2</c:v>
                </c:pt>
                <c:pt idx="92">
                  <c:v>1.5783176216496168E-2</c:v>
                </c:pt>
                <c:pt idx="93">
                  <c:v>1.4421692081309058E-2</c:v>
                </c:pt>
                <c:pt idx="94">
                  <c:v>1.3195600067341006E-2</c:v>
                </c:pt>
                <c:pt idx="95">
                  <c:v>1.2049704805258117E-2</c:v>
                </c:pt>
                <c:pt idx="96">
                  <c:v>1.1021758939359302E-2</c:v>
                </c:pt>
                <c:pt idx="97">
                  <c:v>1.0076265133116751E-2</c:v>
                </c:pt>
                <c:pt idx="98">
                  <c:v>9.2058605824032903E-3</c:v>
                </c:pt>
                <c:pt idx="99">
                  <c:v>8.4116399403434683E-3</c:v>
                </c:pt>
                <c:pt idx="100">
                  <c:v>7.7050400129750436E-3</c:v>
                </c:pt>
                <c:pt idx="101">
                  <c:v>7.0525543036952009E-3</c:v>
                </c:pt>
                <c:pt idx="102">
                  <c:v>6.412369555722313E-3</c:v>
                </c:pt>
                <c:pt idx="103">
                  <c:v>5.8771213731889579E-3</c:v>
                </c:pt>
                <c:pt idx="104">
                  <c:v>5.3616581563335174E-3</c:v>
                </c:pt>
                <c:pt idx="105">
                  <c:v>4.9028018932553291E-3</c:v>
                </c:pt>
                <c:pt idx="106">
                  <c:v>4.4941901889631658E-3</c:v>
                </c:pt>
                <c:pt idx="107">
                  <c:v>4.1109817691816876E-3</c:v>
                </c:pt>
                <c:pt idx="108">
                  <c:v>3.757038624924984E-3</c:v>
                </c:pt>
                <c:pt idx="109">
                  <c:v>3.4332529091557888E-3</c:v>
                </c:pt>
                <c:pt idx="110">
                  <c:v>3.1286003666114643E-3</c:v>
                </c:pt>
                <c:pt idx="111">
                  <c:v>2.864842853227822E-3</c:v>
                </c:pt>
                <c:pt idx="112">
                  <c:v>2.6196139981308477E-3</c:v>
                </c:pt>
                <c:pt idx="113">
                  <c:v>2.393826353960671E-3</c:v>
                </c:pt>
                <c:pt idx="114">
                  <c:v>2.1885486846241245E-3</c:v>
                </c:pt>
                <c:pt idx="115">
                  <c:v>2.0022439196464088E-3</c:v>
                </c:pt>
                <c:pt idx="116">
                  <c:v>1.8304775441372822E-3</c:v>
                </c:pt>
                <c:pt idx="117">
                  <c:v>1.6735354597592937E-3</c:v>
                </c:pt>
                <c:pt idx="118">
                  <c:v>1.5418411638901343E-3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0818176"/>
        <c:axId val="170841216"/>
      </c:scatterChart>
      <c:valAx>
        <c:axId val="170818176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4037558685446"/>
              <c:y val="0.9407172928887246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170841216"/>
        <c:crossesAt val="1.0000000000000041E-3"/>
        <c:crossBetween val="midCat"/>
        <c:majorUnit val="0.2"/>
        <c:minorUnit val="0.1"/>
      </c:valAx>
      <c:valAx>
        <c:axId val="170841216"/>
        <c:scaling>
          <c:logBase val="10"/>
          <c:orientation val="minMax"/>
          <c:max val="1000"/>
          <c:min val="1.0000000000000041E-3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Pore Throat Radius, microns.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288590956331800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170818176"/>
        <c:crosses val="max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6901411284906759"/>
          <c:y val="6.0402679443359433E-2"/>
          <c:w val="0.4260563032526869"/>
          <c:h val="9.395972963363406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505"/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 Data V.S. Pore Size Distrubition</a:t>
            </a:r>
          </a:p>
        </c:rich>
      </c:tx>
      <c:layout>
        <c:manualLayout>
          <c:xMode val="edge"/>
          <c:yMode val="edge"/>
          <c:x val="0.34320591413962531"/>
          <c:y val="5.31265197201520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278"/>
        </c:manualLayout>
      </c:layout>
      <c:scatterChart>
        <c:scatterStyle val="line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2.9231225246459207</c:v>
                </c:pt>
                <c:pt idx="35">
                  <c:v>2.7016191131832614</c:v>
                </c:pt>
                <c:pt idx="36">
                  <c:v>2.4691414919159675</c:v>
                </c:pt>
                <c:pt idx="37">
                  <c:v>2.1995614826726708</c:v>
                </c:pt>
                <c:pt idx="38">
                  <c:v>2.0531228821343079</c:v>
                </c:pt>
                <c:pt idx="39">
                  <c:v>1.8395058443030379</c:v>
                </c:pt>
                <c:pt idx="40">
                  <c:v>1.6914240368601354</c:v>
                </c:pt>
                <c:pt idx="41">
                  <c:v>1.5530554868654509</c:v>
                </c:pt>
                <c:pt idx="42">
                  <c:v>1.4312528367778601</c:v>
                </c:pt>
                <c:pt idx="43">
                  <c:v>1.3002663149348461</c:v>
                </c:pt>
                <c:pt idx="44">
                  <c:v>1.193987406952435</c:v>
                </c:pt>
                <c:pt idx="45">
                  <c:v>1.0804299676503464</c:v>
                </c:pt>
                <c:pt idx="46">
                  <c:v>0.99764580470774644</c:v>
                </c:pt>
                <c:pt idx="47">
                  <c:v>0.89683508232753772</c:v>
                </c:pt>
                <c:pt idx="48">
                  <c:v>0.82543764347045412</c:v>
                </c:pt>
                <c:pt idx="49">
                  <c:v>0.75951928926934098</c:v>
                </c:pt>
                <c:pt idx="50">
                  <c:v>0.68992720068892543</c:v>
                </c:pt>
                <c:pt idx="51">
                  <c:v>0.63238267087563793</c:v>
                </c:pt>
                <c:pt idx="52">
                  <c:v>0.57963908429555033</c:v>
                </c:pt>
                <c:pt idx="53">
                  <c:v>0.52656565511000741</c:v>
                </c:pt>
                <c:pt idx="54">
                  <c:v>0.4813630946141596</c:v>
                </c:pt>
                <c:pt idx="55">
                  <c:v>0.43938336948763634</c:v>
                </c:pt>
                <c:pt idx="56">
                  <c:v>0.40163223393213254</c:v>
                </c:pt>
                <c:pt idx="57">
                  <c:v>0.36608352729474669</c:v>
                </c:pt>
                <c:pt idx="58">
                  <c:v>0.33616589415863246</c:v>
                </c:pt>
                <c:pt idx="59">
                  <c:v>0.30643146977033642</c:v>
                </c:pt>
                <c:pt idx="60">
                  <c:v>0.28044284336569758</c:v>
                </c:pt>
                <c:pt idx="61">
                  <c:v>0.25616087583309155</c:v>
                </c:pt>
                <c:pt idx="62">
                  <c:v>0.23412008843989879</c:v>
                </c:pt>
                <c:pt idx="63">
                  <c:v>0.21382833095716333</c:v>
                </c:pt>
                <c:pt idx="64">
                  <c:v>0.19585431420657456</c:v>
                </c:pt>
                <c:pt idx="65">
                  <c:v>0.17881118762783035</c:v>
                </c:pt>
                <c:pt idx="66">
                  <c:v>0.16290691468253507</c:v>
                </c:pt>
                <c:pt idx="67">
                  <c:v>0.14940951312416109</c:v>
                </c:pt>
                <c:pt idx="68">
                  <c:v>0.13644241686103262</c:v>
                </c:pt>
                <c:pt idx="69">
                  <c:v>0.12489419069533511</c:v>
                </c:pt>
                <c:pt idx="70">
                  <c:v>0.11406005399232629</c:v>
                </c:pt>
                <c:pt idx="71">
                  <c:v>0.10417338270436485</c:v>
                </c:pt>
                <c:pt idx="72">
                  <c:v>9.5195185268646468E-2</c:v>
                </c:pt>
                <c:pt idx="73">
                  <c:v>8.7350564194611957E-2</c:v>
                </c:pt>
                <c:pt idx="74">
                  <c:v>7.9884556183857439E-2</c:v>
                </c:pt>
                <c:pt idx="75">
                  <c:v>7.2838998890741399E-2</c:v>
                </c:pt>
                <c:pt idx="76">
                  <c:v>6.6490117805151086E-2</c:v>
                </c:pt>
                <c:pt idx="77">
                  <c:v>6.0700969621040025E-2</c:v>
                </c:pt>
                <c:pt idx="78">
                  <c:v>5.5571090901488054E-2</c:v>
                </c:pt>
                <c:pt idx="79">
                  <c:v>5.0590735745708749E-2</c:v>
                </c:pt>
                <c:pt idx="80">
                  <c:v>4.6327931800271699E-2</c:v>
                </c:pt>
                <c:pt idx="81">
                  <c:v>4.2471385520790751E-2</c:v>
                </c:pt>
                <c:pt idx="82">
                  <c:v>3.8703312576774986E-2</c:v>
                </c:pt>
                <c:pt idx="83">
                  <c:v>3.5409492469150247E-2</c:v>
                </c:pt>
                <c:pt idx="84">
                  <c:v>3.2410291306999704E-2</c:v>
                </c:pt>
                <c:pt idx="85">
                  <c:v>2.958094980764496E-2</c:v>
                </c:pt>
                <c:pt idx="86">
                  <c:v>2.7050143399939094E-2</c:v>
                </c:pt>
                <c:pt idx="87">
                  <c:v>2.4709585376510239E-2</c:v>
                </c:pt>
                <c:pt idx="88">
                  <c:v>2.258864999814824E-2</c:v>
                </c:pt>
                <c:pt idx="89">
                  <c:v>2.0663343523550058E-2</c:v>
                </c:pt>
                <c:pt idx="90">
                  <c:v>1.8913520229692993E-2</c:v>
                </c:pt>
                <c:pt idx="91">
                  <c:v>1.7273477094595101E-2</c:v>
                </c:pt>
                <c:pt idx="92">
                  <c:v>1.5783176216496168E-2</c:v>
                </c:pt>
                <c:pt idx="93">
                  <c:v>1.4421692081309058E-2</c:v>
                </c:pt>
                <c:pt idx="94">
                  <c:v>1.3195600067341006E-2</c:v>
                </c:pt>
                <c:pt idx="95">
                  <c:v>1.2049704805258117E-2</c:v>
                </c:pt>
                <c:pt idx="96">
                  <c:v>1.1021758939359302E-2</c:v>
                </c:pt>
                <c:pt idx="97">
                  <c:v>1.0076265133116751E-2</c:v>
                </c:pt>
                <c:pt idx="98">
                  <c:v>9.2058605824032903E-3</c:v>
                </c:pt>
                <c:pt idx="99">
                  <c:v>8.4116399403434683E-3</c:v>
                </c:pt>
                <c:pt idx="100">
                  <c:v>7.7050400129750436E-3</c:v>
                </c:pt>
                <c:pt idx="101">
                  <c:v>7.0525543036952009E-3</c:v>
                </c:pt>
                <c:pt idx="102">
                  <c:v>6.412369555722313E-3</c:v>
                </c:pt>
                <c:pt idx="103">
                  <c:v>5.8771213731889579E-3</c:v>
                </c:pt>
                <c:pt idx="104">
                  <c:v>5.3616581563335174E-3</c:v>
                </c:pt>
                <c:pt idx="105">
                  <c:v>4.9028018932553291E-3</c:v>
                </c:pt>
                <c:pt idx="106">
                  <c:v>4.4941901889631658E-3</c:v>
                </c:pt>
                <c:pt idx="107">
                  <c:v>4.1109817691816876E-3</c:v>
                </c:pt>
                <c:pt idx="108">
                  <c:v>3.757038624924984E-3</c:v>
                </c:pt>
                <c:pt idx="109">
                  <c:v>3.4332529091557888E-3</c:v>
                </c:pt>
                <c:pt idx="110">
                  <c:v>3.1286003666114643E-3</c:v>
                </c:pt>
                <c:pt idx="111">
                  <c:v>2.864842853227822E-3</c:v>
                </c:pt>
                <c:pt idx="112">
                  <c:v>2.6196139981308477E-3</c:v>
                </c:pt>
                <c:pt idx="113">
                  <c:v>2.393826353960671E-3</c:v>
                </c:pt>
                <c:pt idx="114">
                  <c:v>2.1885486846241245E-3</c:v>
                </c:pt>
                <c:pt idx="115">
                  <c:v>2.0022439196464088E-3</c:v>
                </c:pt>
                <c:pt idx="116">
                  <c:v>1.8304775441372822E-3</c:v>
                </c:pt>
                <c:pt idx="117">
                  <c:v>1.6735354597592937E-3</c:v>
                </c:pt>
                <c:pt idx="118">
                  <c:v>1.5418411638901343E-3</c:v>
                </c:pt>
              </c:numCache>
            </c:numRef>
          </c:xVal>
          <c:yVal>
            <c:numRef>
              <c:f>Table!$S$18:$S$136</c:f>
              <c:numCache>
                <c:formatCode>????0.000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7.6628352490421491E-4</c:v>
                </c:pt>
                <c:pt idx="33">
                  <c:v>4.597701149425289E-3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1.5325670498084303E-3</c:v>
                </c:pt>
                <c:pt idx="40">
                  <c:v>3.8314176245210735E-3</c:v>
                </c:pt>
                <c:pt idx="41">
                  <c:v>3.8314176245210748E-3</c:v>
                </c:pt>
                <c:pt idx="42">
                  <c:v>8.4291187739463647E-3</c:v>
                </c:pt>
                <c:pt idx="43">
                  <c:v>1.455938697318008E-2</c:v>
                </c:pt>
                <c:pt idx="44">
                  <c:v>2.2222222222222227E-2</c:v>
                </c:pt>
                <c:pt idx="45">
                  <c:v>3.9846743295019187E-2</c:v>
                </c:pt>
                <c:pt idx="46">
                  <c:v>6.6666666666666693E-2</c:v>
                </c:pt>
                <c:pt idx="47">
                  <c:v>0.14252873563218399</c:v>
                </c:pt>
                <c:pt idx="48">
                  <c:v>0.31111111111111123</c:v>
                </c:pt>
                <c:pt idx="49">
                  <c:v>0.5111111111111114</c:v>
                </c:pt>
                <c:pt idx="50">
                  <c:v>0.79616858237547916</c:v>
                </c:pt>
                <c:pt idx="51">
                  <c:v>0.93793103448275905</c:v>
                </c:pt>
                <c:pt idx="52">
                  <c:v>1</c:v>
                </c:pt>
                <c:pt idx="53">
                  <c:v>0.64444444444444515</c:v>
                </c:pt>
                <c:pt idx="54">
                  <c:v>0.36091954022988576</c:v>
                </c:pt>
                <c:pt idx="55">
                  <c:v>0.31800766283524867</c:v>
                </c:pt>
                <c:pt idx="56">
                  <c:v>0.29348659003831423</c:v>
                </c:pt>
                <c:pt idx="57">
                  <c:v>0.25900383141762429</c:v>
                </c:pt>
                <c:pt idx="58">
                  <c:v>0.23371647509578539</c:v>
                </c:pt>
                <c:pt idx="59">
                  <c:v>0.22222222222222229</c:v>
                </c:pt>
                <c:pt idx="60">
                  <c:v>0.20536398467433056</c:v>
                </c:pt>
                <c:pt idx="61">
                  <c:v>0.19540229885057445</c:v>
                </c:pt>
                <c:pt idx="62">
                  <c:v>0.18927203065134132</c:v>
                </c:pt>
                <c:pt idx="63">
                  <c:v>0.18314176245210689</c:v>
                </c:pt>
                <c:pt idx="64">
                  <c:v>0.17777777777777756</c:v>
                </c:pt>
                <c:pt idx="65">
                  <c:v>0.1693486590038317</c:v>
                </c:pt>
                <c:pt idx="66">
                  <c:v>0.17164750957854447</c:v>
                </c:pt>
                <c:pt idx="67">
                  <c:v>0.16398467432950239</c:v>
                </c:pt>
                <c:pt idx="68">
                  <c:v>0.16321839080459727</c:v>
                </c:pt>
                <c:pt idx="69">
                  <c:v>0.15632183908045902</c:v>
                </c:pt>
                <c:pt idx="70">
                  <c:v>0.15632183908046035</c:v>
                </c:pt>
                <c:pt idx="71">
                  <c:v>0.14865900383141828</c:v>
                </c:pt>
                <c:pt idx="72">
                  <c:v>0.14712643678160803</c:v>
                </c:pt>
                <c:pt idx="73">
                  <c:v>0.13639846743295073</c:v>
                </c:pt>
                <c:pt idx="74">
                  <c:v>0.14022988505747111</c:v>
                </c:pt>
                <c:pt idx="75">
                  <c:v>0.13793103448275967</c:v>
                </c:pt>
                <c:pt idx="76">
                  <c:v>0.13486590038314178</c:v>
                </c:pt>
                <c:pt idx="77">
                  <c:v>0.12796934865900353</c:v>
                </c:pt>
                <c:pt idx="78">
                  <c:v>0.12107279693486529</c:v>
                </c:pt>
                <c:pt idx="79">
                  <c:v>0.12490421455938698</c:v>
                </c:pt>
                <c:pt idx="80">
                  <c:v>0.11724137931034624</c:v>
                </c:pt>
                <c:pt idx="81">
                  <c:v>0.11111111111111049</c:v>
                </c:pt>
                <c:pt idx="82">
                  <c:v>0.11417624521072706</c:v>
                </c:pt>
                <c:pt idx="83">
                  <c:v>0.10881226053639906</c:v>
                </c:pt>
                <c:pt idx="84">
                  <c:v>0.10574712643678118</c:v>
                </c:pt>
                <c:pt idx="85">
                  <c:v>0.10881226053639906</c:v>
                </c:pt>
                <c:pt idx="86">
                  <c:v>0.101149425287357</c:v>
                </c:pt>
                <c:pt idx="87">
                  <c:v>0.10038314176245187</c:v>
                </c:pt>
                <c:pt idx="88">
                  <c:v>9.8850574712644246E-2</c:v>
                </c:pt>
                <c:pt idx="89">
                  <c:v>0.10038314176245187</c:v>
                </c:pt>
                <c:pt idx="90">
                  <c:v>9.5785440613026379E-2</c:v>
                </c:pt>
                <c:pt idx="91">
                  <c:v>9.5019157088122558E-2</c:v>
                </c:pt>
                <c:pt idx="92">
                  <c:v>8.8888888888889447E-2</c:v>
                </c:pt>
                <c:pt idx="93">
                  <c:v>9.1954022988504691E-2</c:v>
                </c:pt>
                <c:pt idx="94">
                  <c:v>8.6590038314178011E-2</c:v>
                </c:pt>
                <c:pt idx="95">
                  <c:v>8.1226053639846071E-2</c:v>
                </c:pt>
                <c:pt idx="96">
                  <c:v>7.8927203065133317E-2</c:v>
                </c:pt>
                <c:pt idx="97">
                  <c:v>7.9693486590038443E-2</c:v>
                </c:pt>
                <c:pt idx="98">
                  <c:v>6.4367816091954327E-2</c:v>
                </c:pt>
                <c:pt idx="99">
                  <c:v>6.6666666666667082E-2</c:v>
                </c:pt>
                <c:pt idx="100">
                  <c:v>6.2835249042145394E-2</c:v>
                </c:pt>
                <c:pt idx="101">
                  <c:v>5.5938697318007151E-2</c:v>
                </c:pt>
                <c:pt idx="102">
                  <c:v>5.6704980842912277E-2</c:v>
                </c:pt>
                <c:pt idx="103">
                  <c:v>5.3639846743295715E-2</c:v>
                </c:pt>
                <c:pt idx="104">
                  <c:v>4.9808429118774034E-2</c:v>
                </c:pt>
                <c:pt idx="105">
                  <c:v>4.5977011494252346E-2</c:v>
                </c:pt>
                <c:pt idx="106">
                  <c:v>4.0613026819923036E-2</c:v>
                </c:pt>
                <c:pt idx="107">
                  <c:v>4.5977011494252346E-2</c:v>
                </c:pt>
                <c:pt idx="108">
                  <c:v>3.7547892720307792E-2</c:v>
                </c:pt>
                <c:pt idx="109">
                  <c:v>2.7586206896551668E-2</c:v>
                </c:pt>
                <c:pt idx="110">
                  <c:v>2.8352490421455483E-2</c:v>
                </c:pt>
                <c:pt idx="111">
                  <c:v>2.0689655172414737E-2</c:v>
                </c:pt>
                <c:pt idx="112">
                  <c:v>1.8390804597700674E-2</c:v>
                </c:pt>
                <c:pt idx="113">
                  <c:v>1.6091954022987926E-2</c:v>
                </c:pt>
                <c:pt idx="114">
                  <c:v>1.1494252873563744E-2</c:v>
                </c:pt>
                <c:pt idx="115">
                  <c:v>9.9616858237534921E-3</c:v>
                </c:pt>
                <c:pt idx="116">
                  <c:v>1.3793103448276492E-2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1991808"/>
        <c:axId val="171994112"/>
      </c:scatterChart>
      <c:valAx>
        <c:axId val="171991808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40037962382730313"/>
              <c:y val="0.92577462934190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171994112"/>
        <c:crosses val="autoZero"/>
        <c:crossBetween val="midCat"/>
      </c:valAx>
      <c:valAx>
        <c:axId val="17199411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Dristubition Function</a:t>
                </a:r>
              </a:p>
            </c:rich>
          </c:tx>
          <c:layout>
            <c:manualLayout>
              <c:xMode val="edge"/>
              <c:yMode val="edge"/>
              <c:x val="3.5392202272293852E-2"/>
              <c:y val="0.30886858206270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171991808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chemeClr val="dk1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44" r="0.75000000000000844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Saturation vs Log Pore Throat Size</a:t>
            </a:r>
          </a:p>
        </c:rich>
      </c:tx>
      <c:layout>
        <c:manualLayout>
          <c:xMode val="edge"/>
          <c:yMode val="edge"/>
          <c:x val="0.33093532012654897"/>
          <c:y val="3.1042222084444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64490420478818"/>
          <c:y val="0.10419268510258722"/>
          <c:w val="0.79829436705027268"/>
          <c:h val="0.76090414211159918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800080"/>
              </a:solidFill>
            </a:ln>
          </c:spPr>
          <c:marker>
            <c:symbol val="diamond"/>
            <c:size val="3"/>
            <c:spPr>
              <a:solidFill>
                <a:srgbClr val="800080"/>
              </a:solidFill>
              <a:ln>
                <a:solidFill>
                  <a:srgbClr val="800080"/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2.9231225246459207</c:v>
                </c:pt>
                <c:pt idx="35">
                  <c:v>2.7016191131832614</c:v>
                </c:pt>
                <c:pt idx="36">
                  <c:v>2.4691414919159675</c:v>
                </c:pt>
                <c:pt idx="37">
                  <c:v>2.1995614826726708</c:v>
                </c:pt>
                <c:pt idx="38">
                  <c:v>2.0531228821343079</c:v>
                </c:pt>
                <c:pt idx="39">
                  <c:v>1.8395058443030379</c:v>
                </c:pt>
                <c:pt idx="40">
                  <c:v>1.6914240368601354</c:v>
                </c:pt>
                <c:pt idx="41">
                  <c:v>1.5530554868654509</c:v>
                </c:pt>
                <c:pt idx="42">
                  <c:v>1.4312528367778601</c:v>
                </c:pt>
                <c:pt idx="43">
                  <c:v>1.3002663149348461</c:v>
                </c:pt>
                <c:pt idx="44">
                  <c:v>1.193987406952435</c:v>
                </c:pt>
                <c:pt idx="45">
                  <c:v>1.0804299676503464</c:v>
                </c:pt>
                <c:pt idx="46">
                  <c:v>0.99764580470774644</c:v>
                </c:pt>
                <c:pt idx="47">
                  <c:v>0.89683508232753772</c:v>
                </c:pt>
                <c:pt idx="48">
                  <c:v>0.82543764347045412</c:v>
                </c:pt>
                <c:pt idx="49">
                  <c:v>0.75951928926934098</c:v>
                </c:pt>
                <c:pt idx="50">
                  <c:v>0.68992720068892543</c:v>
                </c:pt>
                <c:pt idx="51">
                  <c:v>0.63238267087563793</c:v>
                </c:pt>
                <c:pt idx="52">
                  <c:v>0.57963908429555033</c:v>
                </c:pt>
                <c:pt idx="53">
                  <c:v>0.52656565511000741</c:v>
                </c:pt>
                <c:pt idx="54">
                  <c:v>0.4813630946141596</c:v>
                </c:pt>
                <c:pt idx="55">
                  <c:v>0.43938336948763634</c:v>
                </c:pt>
                <c:pt idx="56">
                  <c:v>0.40163223393213254</c:v>
                </c:pt>
                <c:pt idx="57">
                  <c:v>0.36608352729474669</c:v>
                </c:pt>
                <c:pt idx="58">
                  <c:v>0.33616589415863246</c:v>
                </c:pt>
                <c:pt idx="59">
                  <c:v>0.30643146977033642</c:v>
                </c:pt>
                <c:pt idx="60">
                  <c:v>0.28044284336569758</c:v>
                </c:pt>
                <c:pt idx="61">
                  <c:v>0.25616087583309155</c:v>
                </c:pt>
                <c:pt idx="62">
                  <c:v>0.23412008843989879</c:v>
                </c:pt>
                <c:pt idx="63">
                  <c:v>0.21382833095716333</c:v>
                </c:pt>
                <c:pt idx="64">
                  <c:v>0.19585431420657456</c:v>
                </c:pt>
                <c:pt idx="65">
                  <c:v>0.17881118762783035</c:v>
                </c:pt>
                <c:pt idx="66">
                  <c:v>0.16290691468253507</c:v>
                </c:pt>
                <c:pt idx="67">
                  <c:v>0.14940951312416109</c:v>
                </c:pt>
                <c:pt idx="68">
                  <c:v>0.13644241686103262</c:v>
                </c:pt>
                <c:pt idx="69">
                  <c:v>0.12489419069533511</c:v>
                </c:pt>
                <c:pt idx="70">
                  <c:v>0.11406005399232629</c:v>
                </c:pt>
                <c:pt idx="71">
                  <c:v>0.10417338270436485</c:v>
                </c:pt>
                <c:pt idx="72">
                  <c:v>9.5195185268646468E-2</c:v>
                </c:pt>
                <c:pt idx="73">
                  <c:v>8.7350564194611957E-2</c:v>
                </c:pt>
                <c:pt idx="74">
                  <c:v>7.9884556183857439E-2</c:v>
                </c:pt>
                <c:pt idx="75">
                  <c:v>7.2838998890741399E-2</c:v>
                </c:pt>
                <c:pt idx="76">
                  <c:v>6.6490117805151086E-2</c:v>
                </c:pt>
                <c:pt idx="77">
                  <c:v>6.0700969621040025E-2</c:v>
                </c:pt>
                <c:pt idx="78">
                  <c:v>5.5571090901488054E-2</c:v>
                </c:pt>
                <c:pt idx="79">
                  <c:v>5.0590735745708749E-2</c:v>
                </c:pt>
                <c:pt idx="80">
                  <c:v>4.6327931800271699E-2</c:v>
                </c:pt>
                <c:pt idx="81">
                  <c:v>4.2471385520790751E-2</c:v>
                </c:pt>
                <c:pt idx="82">
                  <c:v>3.8703312576774986E-2</c:v>
                </c:pt>
                <c:pt idx="83">
                  <c:v>3.5409492469150247E-2</c:v>
                </c:pt>
                <c:pt idx="84">
                  <c:v>3.2410291306999704E-2</c:v>
                </c:pt>
                <c:pt idx="85">
                  <c:v>2.958094980764496E-2</c:v>
                </c:pt>
                <c:pt idx="86">
                  <c:v>2.7050143399939094E-2</c:v>
                </c:pt>
                <c:pt idx="87">
                  <c:v>2.4709585376510239E-2</c:v>
                </c:pt>
                <c:pt idx="88">
                  <c:v>2.258864999814824E-2</c:v>
                </c:pt>
                <c:pt idx="89">
                  <c:v>2.0663343523550058E-2</c:v>
                </c:pt>
                <c:pt idx="90">
                  <c:v>1.8913520229692993E-2</c:v>
                </c:pt>
                <c:pt idx="91">
                  <c:v>1.7273477094595101E-2</c:v>
                </c:pt>
                <c:pt idx="92">
                  <c:v>1.5783176216496168E-2</c:v>
                </c:pt>
                <c:pt idx="93">
                  <c:v>1.4421692081309058E-2</c:v>
                </c:pt>
                <c:pt idx="94">
                  <c:v>1.3195600067341006E-2</c:v>
                </c:pt>
                <c:pt idx="95">
                  <c:v>1.2049704805258117E-2</c:v>
                </c:pt>
                <c:pt idx="96">
                  <c:v>1.1021758939359302E-2</c:v>
                </c:pt>
                <c:pt idx="97">
                  <c:v>1.0076265133116751E-2</c:v>
                </c:pt>
                <c:pt idx="98">
                  <c:v>9.2058605824032903E-3</c:v>
                </c:pt>
                <c:pt idx="99">
                  <c:v>8.4116399403434683E-3</c:v>
                </c:pt>
                <c:pt idx="100">
                  <c:v>7.7050400129750436E-3</c:v>
                </c:pt>
                <c:pt idx="101">
                  <c:v>7.0525543036952009E-3</c:v>
                </c:pt>
                <c:pt idx="102">
                  <c:v>6.412369555722313E-3</c:v>
                </c:pt>
                <c:pt idx="103">
                  <c:v>5.8771213731889579E-3</c:v>
                </c:pt>
                <c:pt idx="104">
                  <c:v>5.3616581563335174E-3</c:v>
                </c:pt>
                <c:pt idx="105">
                  <c:v>4.9028018932553291E-3</c:v>
                </c:pt>
                <c:pt idx="106">
                  <c:v>4.4941901889631658E-3</c:v>
                </c:pt>
                <c:pt idx="107">
                  <c:v>4.1109817691816876E-3</c:v>
                </c:pt>
                <c:pt idx="108">
                  <c:v>3.757038624924984E-3</c:v>
                </c:pt>
                <c:pt idx="109">
                  <c:v>3.4332529091557888E-3</c:v>
                </c:pt>
                <c:pt idx="110">
                  <c:v>3.1286003666114643E-3</c:v>
                </c:pt>
                <c:pt idx="111">
                  <c:v>2.864842853227822E-3</c:v>
                </c:pt>
                <c:pt idx="112">
                  <c:v>2.6196139981308477E-3</c:v>
                </c:pt>
                <c:pt idx="113">
                  <c:v>2.393826353960671E-3</c:v>
                </c:pt>
                <c:pt idx="114">
                  <c:v>2.1885486846241245E-3</c:v>
                </c:pt>
                <c:pt idx="115">
                  <c:v>2.0022439196464088E-3</c:v>
                </c:pt>
                <c:pt idx="116">
                  <c:v>1.8304775441372822E-3</c:v>
                </c:pt>
                <c:pt idx="117">
                  <c:v>1.6735354597592937E-3</c:v>
                </c:pt>
                <c:pt idx="118">
                  <c:v>1.5418411638901343E-3</c:v>
                </c:pt>
              </c:numCache>
            </c:numRef>
          </c:xVal>
          <c:yVal>
            <c:numRef>
              <c:f>'Raw Data'!$E$18:$E$136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1.9346200555724771E-4</c:v>
                </c:pt>
                <c:pt idx="34">
                  <c:v>1.9346200555724771E-4</c:v>
                </c:pt>
                <c:pt idx="35">
                  <c:v>1.9346200555724771E-4</c:v>
                </c:pt>
                <c:pt idx="36">
                  <c:v>1.9346200555724771E-4</c:v>
                </c:pt>
                <c:pt idx="37">
                  <c:v>1.9346200555724771E-4</c:v>
                </c:pt>
                <c:pt idx="38">
                  <c:v>1.9346200555724771E-4</c:v>
                </c:pt>
                <c:pt idx="39">
                  <c:v>3.2294546576503591E-4</c:v>
                </c:pt>
                <c:pt idx="40">
                  <c:v>6.4665411628450869E-4</c:v>
                </c:pt>
                <c:pt idx="41">
                  <c:v>9.7036276680398143E-4</c:v>
                </c:pt>
                <c:pt idx="42">
                  <c:v>1.6825217979468234E-3</c:v>
                </c:pt>
                <c:pt idx="43">
                  <c:v>2.912614669920818E-3</c:v>
                </c:pt>
                <c:pt idx="44">
                  <c:v>4.7901248429337582E-3</c:v>
                </c:pt>
                <c:pt idx="45">
                  <c:v>8.1566948083362737E-3</c:v>
                </c:pt>
                <c:pt idx="46">
                  <c:v>1.3789225327375094E-2</c:v>
                </c:pt>
                <c:pt idx="47">
                  <c:v>2.5831187126699476E-2</c:v>
                </c:pt>
                <c:pt idx="48">
                  <c:v>5.2116329548880638E-2</c:v>
                </c:pt>
                <c:pt idx="49">
                  <c:v>9.5299063528178268E-2</c:v>
                </c:pt>
                <c:pt idx="50">
                  <c:v>0.16256572110612461</c:v>
                </c:pt>
                <c:pt idx="51">
                  <c:v>0.24180959875329153</c:v>
                </c:pt>
                <c:pt idx="52">
                  <c:v>0.32629755653887382</c:v>
                </c:pt>
                <c:pt idx="53">
                  <c:v>0.38074535155624911</c:v>
                </c:pt>
                <c:pt idx="54">
                  <c:v>0.41123870643518345</c:v>
                </c:pt>
                <c:pt idx="55">
                  <c:v>0.43810652442829967</c:v>
                </c:pt>
                <c:pt idx="56">
                  <c:v>0.46290260705809128</c:v>
                </c:pt>
                <c:pt idx="57">
                  <c:v>0.48478531183320756</c:v>
                </c:pt>
                <c:pt idx="58">
                  <c:v>0.50453153951489538</c:v>
                </c:pt>
                <c:pt idx="59">
                  <c:v>0.5233066412450248</c:v>
                </c:pt>
                <c:pt idx="60">
                  <c:v>0.5406574249128685</c:v>
                </c:pt>
                <c:pt idx="61">
                  <c:v>0.55716656608936166</c:v>
                </c:pt>
                <c:pt idx="62">
                  <c:v>0.57315777342502361</c:v>
                </c:pt>
                <c:pt idx="63">
                  <c:v>0.58863104691985435</c:v>
                </c:pt>
                <c:pt idx="64">
                  <c:v>0.60365112830395784</c:v>
                </c:pt>
                <c:pt idx="65">
                  <c:v>0.61795905065691847</c:v>
                </c:pt>
                <c:pt idx="66">
                  <c:v>0.63246119820019076</c:v>
                </c:pt>
                <c:pt idx="67">
                  <c:v>0.64631592844242425</c:v>
                </c:pt>
                <c:pt idx="68">
                  <c:v>0.6601059169545539</c:v>
                </c:pt>
                <c:pt idx="69">
                  <c:v>0.67331322989574838</c:v>
                </c:pt>
                <c:pt idx="70">
                  <c:v>0.68652054283694286</c:v>
                </c:pt>
                <c:pt idx="71">
                  <c:v>0.69908043847709844</c:v>
                </c:pt>
                <c:pt idx="72">
                  <c:v>0.71151085065704611</c:v>
                </c:pt>
                <c:pt idx="73">
                  <c:v>0.72303487861553939</c:v>
                </c:pt>
                <c:pt idx="74">
                  <c:v>0.734882615224552</c:v>
                </c:pt>
                <c:pt idx="75">
                  <c:v>0.74653612664325308</c:v>
                </c:pt>
                <c:pt idx="76">
                  <c:v>0.75793067114153856</c:v>
                </c:pt>
                <c:pt idx="77">
                  <c:v>0.76874254006888887</c:v>
                </c:pt>
                <c:pt idx="78">
                  <c:v>0.77897173342530424</c:v>
                </c:pt>
                <c:pt idx="79">
                  <c:v>0.78952463543223905</c:v>
                </c:pt>
                <c:pt idx="80">
                  <c:v>0.79943012013813497</c:v>
                </c:pt>
                <c:pt idx="81">
                  <c:v>0.80881767100319957</c:v>
                </c:pt>
                <c:pt idx="82">
                  <c:v>0.81846418878867988</c:v>
                </c:pt>
                <c:pt idx="83">
                  <c:v>0.82765751446343283</c:v>
                </c:pt>
                <c:pt idx="84">
                  <c:v>0.83659187321777029</c:v>
                </c:pt>
                <c:pt idx="85">
                  <c:v>0.84578519889252335</c:v>
                </c:pt>
                <c:pt idx="86">
                  <c:v>0.85433110726623751</c:v>
                </c:pt>
                <c:pt idx="87">
                  <c:v>0.8628122739098476</c:v>
                </c:pt>
                <c:pt idx="88">
                  <c:v>0.87116395709325001</c:v>
                </c:pt>
                <c:pt idx="89">
                  <c:v>0.87964512373686021</c:v>
                </c:pt>
                <c:pt idx="90">
                  <c:v>0.8877378399998469</c:v>
                </c:pt>
                <c:pt idx="91">
                  <c:v>0.89576581453272985</c:v>
                </c:pt>
                <c:pt idx="92">
                  <c:v>0.9032758552247816</c:v>
                </c:pt>
                <c:pt idx="93">
                  <c:v>0.91104486283724895</c:v>
                </c:pt>
                <c:pt idx="94">
                  <c:v>0.91836067833898916</c:v>
                </c:pt>
                <c:pt idx="95">
                  <c:v>0.92522330173000189</c:v>
                </c:pt>
                <c:pt idx="96">
                  <c:v>0.93189169993070298</c:v>
                </c:pt>
                <c:pt idx="97">
                  <c:v>0.93862483986150802</c:v>
                </c:pt>
                <c:pt idx="98">
                  <c:v>0.94406314519023515</c:v>
                </c:pt>
                <c:pt idx="99">
                  <c:v>0.94969567570927405</c:v>
                </c:pt>
                <c:pt idx="100">
                  <c:v>0.95500449757779338</c:v>
                </c:pt>
                <c:pt idx="101">
                  <c:v>0.95973064387537765</c:v>
                </c:pt>
                <c:pt idx="102">
                  <c:v>0.96452153190306589</c:v>
                </c:pt>
                <c:pt idx="103">
                  <c:v>0.96905345301033852</c:v>
                </c:pt>
                <c:pt idx="104">
                  <c:v>0.9732616654670917</c:v>
                </c:pt>
                <c:pt idx="105">
                  <c:v>0.97714616927332532</c:v>
                </c:pt>
                <c:pt idx="106">
                  <c:v>0.98057748096883168</c:v>
                </c:pt>
                <c:pt idx="107">
                  <c:v>0.9844619847750653</c:v>
                </c:pt>
                <c:pt idx="108">
                  <c:v>0.98763432955015618</c:v>
                </c:pt>
                <c:pt idx="109">
                  <c:v>0.9899650318338965</c:v>
                </c:pt>
                <c:pt idx="110">
                  <c:v>0.99236047584774045</c:v>
                </c:pt>
                <c:pt idx="111">
                  <c:v>0.99410850256054573</c:v>
                </c:pt>
                <c:pt idx="112">
                  <c:v>0.99566230408303913</c:v>
                </c:pt>
                <c:pt idx="113">
                  <c:v>0.99702188041522088</c:v>
                </c:pt>
                <c:pt idx="114">
                  <c:v>0.99799300636677934</c:v>
                </c:pt>
                <c:pt idx="115">
                  <c:v>0.99883464885812989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2022784"/>
        <c:axId val="173250048"/>
      </c:scatterChart>
      <c:valAx>
        <c:axId val="172022784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9768561318499929"/>
              <c:y val="0.942799210869595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173250048"/>
        <c:crosses val="autoZero"/>
        <c:crossBetween val="midCat"/>
      </c:valAx>
      <c:valAx>
        <c:axId val="17325004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Mercury Saturation, fractional</a:t>
                </a:r>
              </a:p>
            </c:rich>
          </c:tx>
          <c:layout>
            <c:manualLayout>
              <c:xMode val="edge"/>
              <c:yMode val="edge"/>
              <c:x val="1.7213682297809941E-2"/>
              <c:y val="0.331670401146337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172022784"/>
        <c:crossesAt val="1.0000000000000041E-3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825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d Sw / d Log Pore Throat Size vs Log Pore Throat Size</a:t>
            </a:r>
          </a:p>
        </c:rich>
      </c:tx>
      <c:layout>
        <c:manualLayout>
          <c:xMode val="edge"/>
          <c:yMode val="edge"/>
          <c:x val="0.2429618814204548"/>
          <c:y val="3.10126151025640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48905544897"/>
          <c:y val="0.10031489965429066"/>
          <c:w val="0.81356164375743056"/>
          <c:h val="0.76537560680389582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2.9231225246459207</c:v>
                </c:pt>
                <c:pt idx="35">
                  <c:v>2.7016191131832614</c:v>
                </c:pt>
                <c:pt idx="36">
                  <c:v>2.4691414919159675</c:v>
                </c:pt>
                <c:pt idx="37">
                  <c:v>2.1995614826726708</c:v>
                </c:pt>
                <c:pt idx="38">
                  <c:v>2.0531228821343079</c:v>
                </c:pt>
                <c:pt idx="39">
                  <c:v>1.8395058443030379</c:v>
                </c:pt>
                <c:pt idx="40">
                  <c:v>1.6914240368601354</c:v>
                </c:pt>
                <c:pt idx="41">
                  <c:v>1.5530554868654509</c:v>
                </c:pt>
                <c:pt idx="42">
                  <c:v>1.4312528367778601</c:v>
                </c:pt>
                <c:pt idx="43">
                  <c:v>1.3002663149348461</c:v>
                </c:pt>
                <c:pt idx="44">
                  <c:v>1.193987406952435</c:v>
                </c:pt>
                <c:pt idx="45">
                  <c:v>1.0804299676503464</c:v>
                </c:pt>
                <c:pt idx="46">
                  <c:v>0.99764580470774644</c:v>
                </c:pt>
                <c:pt idx="47">
                  <c:v>0.89683508232753772</c:v>
                </c:pt>
                <c:pt idx="48">
                  <c:v>0.82543764347045412</c:v>
                </c:pt>
                <c:pt idx="49">
                  <c:v>0.75951928926934098</c:v>
                </c:pt>
                <c:pt idx="50">
                  <c:v>0.68992720068892543</c:v>
                </c:pt>
                <c:pt idx="51">
                  <c:v>0.63238267087563793</c:v>
                </c:pt>
                <c:pt idx="52">
                  <c:v>0.57963908429555033</c:v>
                </c:pt>
                <c:pt idx="53">
                  <c:v>0.52656565511000741</c:v>
                </c:pt>
                <c:pt idx="54">
                  <c:v>0.4813630946141596</c:v>
                </c:pt>
                <c:pt idx="55">
                  <c:v>0.43938336948763634</c:v>
                </c:pt>
                <c:pt idx="56">
                  <c:v>0.40163223393213254</c:v>
                </c:pt>
                <c:pt idx="57">
                  <c:v>0.36608352729474669</c:v>
                </c:pt>
                <c:pt idx="58">
                  <c:v>0.33616589415863246</c:v>
                </c:pt>
                <c:pt idx="59">
                  <c:v>0.30643146977033642</c:v>
                </c:pt>
                <c:pt idx="60">
                  <c:v>0.28044284336569758</c:v>
                </c:pt>
                <c:pt idx="61">
                  <c:v>0.25616087583309155</c:v>
                </c:pt>
                <c:pt idx="62">
                  <c:v>0.23412008843989879</c:v>
                </c:pt>
                <c:pt idx="63">
                  <c:v>0.21382833095716333</c:v>
                </c:pt>
                <c:pt idx="64">
                  <c:v>0.19585431420657456</c:v>
                </c:pt>
                <c:pt idx="65">
                  <c:v>0.17881118762783035</c:v>
                </c:pt>
                <c:pt idx="66">
                  <c:v>0.16290691468253507</c:v>
                </c:pt>
                <c:pt idx="67">
                  <c:v>0.14940951312416109</c:v>
                </c:pt>
                <c:pt idx="68">
                  <c:v>0.13644241686103262</c:v>
                </c:pt>
                <c:pt idx="69">
                  <c:v>0.12489419069533511</c:v>
                </c:pt>
                <c:pt idx="70">
                  <c:v>0.11406005399232629</c:v>
                </c:pt>
                <c:pt idx="71">
                  <c:v>0.10417338270436485</c:v>
                </c:pt>
                <c:pt idx="72">
                  <c:v>9.5195185268646468E-2</c:v>
                </c:pt>
                <c:pt idx="73">
                  <c:v>8.7350564194611957E-2</c:v>
                </c:pt>
                <c:pt idx="74">
                  <c:v>7.9884556183857439E-2</c:v>
                </c:pt>
                <c:pt idx="75">
                  <c:v>7.2838998890741399E-2</c:v>
                </c:pt>
                <c:pt idx="76">
                  <c:v>6.6490117805151086E-2</c:v>
                </c:pt>
                <c:pt idx="77">
                  <c:v>6.0700969621040025E-2</c:v>
                </c:pt>
                <c:pt idx="78">
                  <c:v>5.5571090901488054E-2</c:v>
                </c:pt>
                <c:pt idx="79">
                  <c:v>5.0590735745708749E-2</c:v>
                </c:pt>
                <c:pt idx="80">
                  <c:v>4.6327931800271699E-2</c:v>
                </c:pt>
                <c:pt idx="81">
                  <c:v>4.2471385520790751E-2</c:v>
                </c:pt>
                <c:pt idx="82">
                  <c:v>3.8703312576774986E-2</c:v>
                </c:pt>
                <c:pt idx="83">
                  <c:v>3.5409492469150247E-2</c:v>
                </c:pt>
                <c:pt idx="84">
                  <c:v>3.2410291306999704E-2</c:v>
                </c:pt>
                <c:pt idx="85">
                  <c:v>2.958094980764496E-2</c:v>
                </c:pt>
                <c:pt idx="86">
                  <c:v>2.7050143399939094E-2</c:v>
                </c:pt>
                <c:pt idx="87">
                  <c:v>2.4709585376510239E-2</c:v>
                </c:pt>
                <c:pt idx="88">
                  <c:v>2.258864999814824E-2</c:v>
                </c:pt>
                <c:pt idx="89">
                  <c:v>2.0663343523550058E-2</c:v>
                </c:pt>
                <c:pt idx="90">
                  <c:v>1.8913520229692993E-2</c:v>
                </c:pt>
                <c:pt idx="91">
                  <c:v>1.7273477094595101E-2</c:v>
                </c:pt>
                <c:pt idx="92">
                  <c:v>1.5783176216496168E-2</c:v>
                </c:pt>
                <c:pt idx="93">
                  <c:v>1.4421692081309058E-2</c:v>
                </c:pt>
                <c:pt idx="94">
                  <c:v>1.3195600067341006E-2</c:v>
                </c:pt>
                <c:pt idx="95">
                  <c:v>1.2049704805258117E-2</c:v>
                </c:pt>
                <c:pt idx="96">
                  <c:v>1.1021758939359302E-2</c:v>
                </c:pt>
                <c:pt idx="97">
                  <c:v>1.0076265133116751E-2</c:v>
                </c:pt>
                <c:pt idx="98">
                  <c:v>9.2058605824032903E-3</c:v>
                </c:pt>
                <c:pt idx="99">
                  <c:v>8.4116399403434683E-3</c:v>
                </c:pt>
                <c:pt idx="100">
                  <c:v>7.7050400129750436E-3</c:v>
                </c:pt>
                <c:pt idx="101">
                  <c:v>7.0525543036952009E-3</c:v>
                </c:pt>
                <c:pt idx="102">
                  <c:v>6.412369555722313E-3</c:v>
                </c:pt>
                <c:pt idx="103">
                  <c:v>5.8771213731889579E-3</c:v>
                </c:pt>
                <c:pt idx="104">
                  <c:v>5.3616581563335174E-3</c:v>
                </c:pt>
                <c:pt idx="105">
                  <c:v>4.9028018932553291E-3</c:v>
                </c:pt>
                <c:pt idx="106">
                  <c:v>4.4941901889631658E-3</c:v>
                </c:pt>
                <c:pt idx="107">
                  <c:v>4.1109817691816876E-3</c:v>
                </c:pt>
                <c:pt idx="108">
                  <c:v>3.757038624924984E-3</c:v>
                </c:pt>
                <c:pt idx="109">
                  <c:v>3.4332529091557888E-3</c:v>
                </c:pt>
                <c:pt idx="110">
                  <c:v>3.1286003666114643E-3</c:v>
                </c:pt>
                <c:pt idx="111">
                  <c:v>2.864842853227822E-3</c:v>
                </c:pt>
                <c:pt idx="112">
                  <c:v>2.6196139981308477E-3</c:v>
                </c:pt>
                <c:pt idx="113">
                  <c:v>2.393826353960671E-3</c:v>
                </c:pt>
                <c:pt idx="114">
                  <c:v>2.1885486846241245E-3</c:v>
                </c:pt>
                <c:pt idx="115">
                  <c:v>2.0022439196464088E-3</c:v>
                </c:pt>
                <c:pt idx="116">
                  <c:v>1.8304775441372822E-3</c:v>
                </c:pt>
                <c:pt idx="117">
                  <c:v>1.6735354597592937E-3</c:v>
                </c:pt>
                <c:pt idx="118">
                  <c:v>1.5418411638901343E-3</c:v>
                </c:pt>
              </c:numCache>
            </c:numRef>
          </c:xVal>
          <c:yVal>
            <c:numRef>
              <c:f>Table!$J$18:$J$136</c:f>
              <c:numCache>
                <c:formatCode>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5.159015705232895E-3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2.7137544723091337E-3</c:v>
                </c:pt>
                <c:pt idx="40">
                  <c:v>8.8812188720521802E-3</c:v>
                </c:pt>
                <c:pt idx="41">
                  <c:v>8.733415854129992E-3</c:v>
                </c:pt>
                <c:pt idx="42">
                  <c:v>2.0077438608560337E-2</c:v>
                </c:pt>
                <c:pt idx="43">
                  <c:v>2.9509918290129132E-2</c:v>
                </c:pt>
                <c:pt idx="44">
                  <c:v>5.0698895696526323E-2</c:v>
                </c:pt>
                <c:pt idx="45">
                  <c:v>7.7565152058668263E-2</c:v>
                </c:pt>
                <c:pt idx="46">
                  <c:v>0.16269472292559875</c:v>
                </c:pt>
                <c:pt idx="47">
                  <c:v>0.26028912207531324</c:v>
                </c:pt>
                <c:pt idx="48">
                  <c:v>0.72956895906487806</c:v>
                </c:pt>
                <c:pt idx="49">
                  <c:v>1.1946930752091349</c:v>
                </c:pt>
                <c:pt idx="50">
                  <c:v>1.6117356303693597</c:v>
                </c:pt>
                <c:pt idx="51">
                  <c:v>2.0951070605262068</c:v>
                </c:pt>
                <c:pt idx="52">
                  <c:v>2.2338133973540439</c:v>
                </c:pt>
                <c:pt idx="53">
                  <c:v>1.3055418284589237</c:v>
                </c:pt>
                <c:pt idx="54">
                  <c:v>0.78228731025077303</c:v>
                </c:pt>
                <c:pt idx="55">
                  <c:v>0.67798074638119066</c:v>
                </c:pt>
                <c:pt idx="56">
                  <c:v>0.63555166523290185</c:v>
                </c:pt>
                <c:pt idx="57">
                  <c:v>0.54369165394685459</c:v>
                </c:pt>
                <c:pt idx="58">
                  <c:v>0.53329933115476102</c:v>
                </c:pt>
                <c:pt idx="59">
                  <c:v>0.46680677323440134</c:v>
                </c:pt>
                <c:pt idx="60">
                  <c:v>0.45079847550713548</c:v>
                </c:pt>
                <c:pt idx="61">
                  <c:v>0.41974282828469489</c:v>
                </c:pt>
                <c:pt idx="62">
                  <c:v>0.40925316681133256</c:v>
                </c:pt>
                <c:pt idx="63">
                  <c:v>0.39298766064941071</c:v>
                </c:pt>
                <c:pt idx="64">
                  <c:v>0.39389595551085516</c:v>
                </c:pt>
                <c:pt idx="65">
                  <c:v>0.3618735843955434</c:v>
                </c:pt>
                <c:pt idx="66">
                  <c:v>0.35847452544485175</c:v>
                </c:pt>
                <c:pt idx="67">
                  <c:v>0.36885682931550229</c:v>
                </c:pt>
                <c:pt idx="68">
                  <c:v>0.3497436420356354</c:v>
                </c:pt>
                <c:pt idx="69">
                  <c:v>0.34387627342893423</c:v>
                </c:pt>
                <c:pt idx="70">
                  <c:v>0.33513728092538581</c:v>
                </c:pt>
                <c:pt idx="71">
                  <c:v>0.318966845929888</c:v>
                </c:pt>
                <c:pt idx="72">
                  <c:v>0.31757398682517918</c:v>
                </c:pt>
                <c:pt idx="73">
                  <c:v>0.30854761729812924</c:v>
                </c:pt>
                <c:pt idx="74">
                  <c:v>0.30533131191538038</c:v>
                </c:pt>
                <c:pt idx="75">
                  <c:v>0.29061952978118533</c:v>
                </c:pt>
                <c:pt idx="76">
                  <c:v>0.28769114358639453</c:v>
                </c:pt>
                <c:pt idx="77">
                  <c:v>0.27329287404295155</c:v>
                </c:pt>
                <c:pt idx="78">
                  <c:v>0.26675546380807558</c:v>
                </c:pt>
                <c:pt idx="79">
                  <c:v>0.25878956572801126</c:v>
                </c:pt>
                <c:pt idx="80">
                  <c:v>0.25911539291488062</c:v>
                </c:pt>
                <c:pt idx="81">
                  <c:v>0.24870001027258551</c:v>
                </c:pt>
                <c:pt idx="82">
                  <c:v>0.2390811956625199</c:v>
                </c:pt>
                <c:pt idx="83">
                  <c:v>0.23799373616375527</c:v>
                </c:pt>
                <c:pt idx="84">
                  <c:v>0.23244303171002964</c:v>
                </c:pt>
                <c:pt idx="85">
                  <c:v>0.23174024829805548</c:v>
                </c:pt>
                <c:pt idx="86">
                  <c:v>0.2200141329877438</c:v>
                </c:pt>
                <c:pt idx="87">
                  <c:v>0.21578318007358571</c:v>
                </c:pt>
                <c:pt idx="88">
                  <c:v>0.21428208404983634</c:v>
                </c:pt>
                <c:pt idx="89">
                  <c:v>0.2192100463240324</c:v>
                </c:pt>
                <c:pt idx="90">
                  <c:v>0.21059301424168728</c:v>
                </c:pt>
                <c:pt idx="91">
                  <c:v>0.20379397551530171</c:v>
                </c:pt>
                <c:pt idx="92">
                  <c:v>0.19165423273547283</c:v>
                </c:pt>
                <c:pt idx="93">
                  <c:v>0.19829931568480702</c:v>
                </c:pt>
                <c:pt idx="94">
                  <c:v>0.1895923868883253</c:v>
                </c:pt>
                <c:pt idx="95">
                  <c:v>0.17394543310903046</c:v>
                </c:pt>
                <c:pt idx="96">
                  <c:v>0.1721965705480846</c:v>
                </c:pt>
                <c:pt idx="97">
                  <c:v>0.17286037091784617</c:v>
                </c:pt>
                <c:pt idx="98">
                  <c:v>0.13860783954489159</c:v>
                </c:pt>
                <c:pt idx="99">
                  <c:v>0.14374670561271616</c:v>
                </c:pt>
                <c:pt idx="100">
                  <c:v>0.13931803561479378</c:v>
                </c:pt>
                <c:pt idx="101">
                  <c:v>0.12298557771397697</c:v>
                </c:pt>
                <c:pt idx="102">
                  <c:v>0.11592383282195386</c:v>
                </c:pt>
                <c:pt idx="103">
                  <c:v>0.11972143034072141</c:v>
                </c:pt>
                <c:pt idx="104">
                  <c:v>0.10556015559718571</c:v>
                </c:pt>
                <c:pt idx="105">
                  <c:v>9.9974937476524223E-2</c:v>
                </c:pt>
                <c:pt idx="106">
                  <c:v>9.0792500542215229E-2</c:v>
                </c:pt>
                <c:pt idx="107">
                  <c:v>0.10035948419926351</c:v>
                </c:pt>
                <c:pt idx="108">
                  <c:v>8.1134363848617913E-2</c:v>
                </c:pt>
                <c:pt idx="109">
                  <c:v>5.9548043682704471E-2</c:v>
                </c:pt>
                <c:pt idx="110">
                  <c:v>5.9358249883267079E-2</c:v>
                </c:pt>
                <c:pt idx="111">
                  <c:v>4.5700896080800905E-2</c:v>
                </c:pt>
                <c:pt idx="112">
                  <c:v>3.9980996203441685E-2</c:v>
                </c:pt>
                <c:pt idx="113">
                  <c:v>3.4732103475741384E-2</c:v>
                </c:pt>
                <c:pt idx="114">
                  <c:v>2.4941318579147161E-2</c:v>
                </c:pt>
                <c:pt idx="115">
                  <c:v>2.1782072870163288E-2</c:v>
                </c:pt>
                <c:pt idx="116">
                  <c:v>2.9917176218702567E-2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413504"/>
        <c:axId val="173415808"/>
      </c:scatterChart>
      <c:valAx>
        <c:axId val="173413504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7010695397441207"/>
              <c:y val="0.940845879410746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173415808"/>
        <c:crosses val="autoZero"/>
        <c:crossBetween val="midCat"/>
      </c:valAx>
      <c:valAx>
        <c:axId val="17341580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 Sw / d LOG Pore Throat Rad.</a:t>
                </a:r>
              </a:p>
            </c:rich>
          </c:tx>
          <c:layout>
            <c:manualLayout>
              <c:xMode val="edge"/>
              <c:yMode val="edge"/>
              <c:x val="2.0606709152410356E-2"/>
              <c:y val="0.399264163377781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173413504"/>
        <c:crossesAt val="1.0000000000000041E-3"/>
        <c:crossBetween val="midCat"/>
        <c:majorUnit val="1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9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Pore Size Distribution VS Normalized Permeability</a:t>
            </a:r>
          </a:p>
        </c:rich>
      </c:tx>
      <c:layout>
        <c:manualLayout>
          <c:xMode val="edge"/>
          <c:yMode val="edge"/>
          <c:x val="0.2255588553160959"/>
          <c:y val="4.42079021058823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322"/>
        </c:manualLayout>
      </c:layout>
      <c:scatterChart>
        <c:scatterStyle val="smooth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2.9231225246459207</c:v>
                </c:pt>
                <c:pt idx="35">
                  <c:v>2.7016191131832614</c:v>
                </c:pt>
                <c:pt idx="36">
                  <c:v>2.4691414919159675</c:v>
                </c:pt>
                <c:pt idx="37">
                  <c:v>2.1995614826726708</c:v>
                </c:pt>
                <c:pt idx="38">
                  <c:v>2.0531228821343079</c:v>
                </c:pt>
                <c:pt idx="39">
                  <c:v>1.8395058443030379</c:v>
                </c:pt>
                <c:pt idx="40">
                  <c:v>1.6914240368601354</c:v>
                </c:pt>
                <c:pt idx="41">
                  <c:v>1.5530554868654509</c:v>
                </c:pt>
                <c:pt idx="42">
                  <c:v>1.4312528367778601</c:v>
                </c:pt>
                <c:pt idx="43">
                  <c:v>1.3002663149348461</c:v>
                </c:pt>
                <c:pt idx="44">
                  <c:v>1.193987406952435</c:v>
                </c:pt>
                <c:pt idx="45">
                  <c:v>1.0804299676503464</c:v>
                </c:pt>
                <c:pt idx="46">
                  <c:v>0.99764580470774644</c:v>
                </c:pt>
                <c:pt idx="47">
                  <c:v>0.89683508232753772</c:v>
                </c:pt>
                <c:pt idx="48">
                  <c:v>0.82543764347045412</c:v>
                </c:pt>
                <c:pt idx="49">
                  <c:v>0.75951928926934098</c:v>
                </c:pt>
                <c:pt idx="50">
                  <c:v>0.68992720068892543</c:v>
                </c:pt>
                <c:pt idx="51">
                  <c:v>0.63238267087563793</c:v>
                </c:pt>
                <c:pt idx="52">
                  <c:v>0.57963908429555033</c:v>
                </c:pt>
                <c:pt idx="53">
                  <c:v>0.52656565511000741</c:v>
                </c:pt>
                <c:pt idx="54">
                  <c:v>0.4813630946141596</c:v>
                </c:pt>
                <c:pt idx="55">
                  <c:v>0.43938336948763634</c:v>
                </c:pt>
                <c:pt idx="56">
                  <c:v>0.40163223393213254</c:v>
                </c:pt>
                <c:pt idx="57">
                  <c:v>0.36608352729474669</c:v>
                </c:pt>
                <c:pt idx="58">
                  <c:v>0.33616589415863246</c:v>
                </c:pt>
                <c:pt idx="59">
                  <c:v>0.30643146977033642</c:v>
                </c:pt>
                <c:pt idx="60">
                  <c:v>0.28044284336569758</c:v>
                </c:pt>
                <c:pt idx="61">
                  <c:v>0.25616087583309155</c:v>
                </c:pt>
                <c:pt idx="62">
                  <c:v>0.23412008843989879</c:v>
                </c:pt>
                <c:pt idx="63">
                  <c:v>0.21382833095716333</c:v>
                </c:pt>
                <c:pt idx="64">
                  <c:v>0.19585431420657456</c:v>
                </c:pt>
                <c:pt idx="65">
                  <c:v>0.17881118762783035</c:v>
                </c:pt>
                <c:pt idx="66">
                  <c:v>0.16290691468253507</c:v>
                </c:pt>
                <c:pt idx="67">
                  <c:v>0.14940951312416109</c:v>
                </c:pt>
                <c:pt idx="68">
                  <c:v>0.13644241686103262</c:v>
                </c:pt>
                <c:pt idx="69">
                  <c:v>0.12489419069533511</c:v>
                </c:pt>
                <c:pt idx="70">
                  <c:v>0.11406005399232629</c:v>
                </c:pt>
                <c:pt idx="71">
                  <c:v>0.10417338270436485</c:v>
                </c:pt>
                <c:pt idx="72">
                  <c:v>9.5195185268646468E-2</c:v>
                </c:pt>
                <c:pt idx="73">
                  <c:v>8.7350564194611957E-2</c:v>
                </c:pt>
                <c:pt idx="74">
                  <c:v>7.9884556183857439E-2</c:v>
                </c:pt>
                <c:pt idx="75">
                  <c:v>7.2838998890741399E-2</c:v>
                </c:pt>
                <c:pt idx="76">
                  <c:v>6.6490117805151086E-2</c:v>
                </c:pt>
                <c:pt idx="77">
                  <c:v>6.0700969621040025E-2</c:v>
                </c:pt>
                <c:pt idx="78">
                  <c:v>5.5571090901488054E-2</c:v>
                </c:pt>
                <c:pt idx="79">
                  <c:v>5.0590735745708749E-2</c:v>
                </c:pt>
                <c:pt idx="80">
                  <c:v>4.6327931800271699E-2</c:v>
                </c:pt>
                <c:pt idx="81">
                  <c:v>4.2471385520790751E-2</c:v>
                </c:pt>
                <c:pt idx="82">
                  <c:v>3.8703312576774986E-2</c:v>
                </c:pt>
                <c:pt idx="83">
                  <c:v>3.5409492469150247E-2</c:v>
                </c:pt>
                <c:pt idx="84">
                  <c:v>3.2410291306999704E-2</c:v>
                </c:pt>
                <c:pt idx="85">
                  <c:v>2.958094980764496E-2</c:v>
                </c:pt>
                <c:pt idx="86">
                  <c:v>2.7050143399939094E-2</c:v>
                </c:pt>
                <c:pt idx="87">
                  <c:v>2.4709585376510239E-2</c:v>
                </c:pt>
                <c:pt idx="88">
                  <c:v>2.258864999814824E-2</c:v>
                </c:pt>
                <c:pt idx="89">
                  <c:v>2.0663343523550058E-2</c:v>
                </c:pt>
                <c:pt idx="90">
                  <c:v>1.8913520229692993E-2</c:v>
                </c:pt>
                <c:pt idx="91">
                  <c:v>1.7273477094595101E-2</c:v>
                </c:pt>
                <c:pt idx="92">
                  <c:v>1.5783176216496168E-2</c:v>
                </c:pt>
                <c:pt idx="93">
                  <c:v>1.4421692081309058E-2</c:v>
                </c:pt>
                <c:pt idx="94">
                  <c:v>1.3195600067341006E-2</c:v>
                </c:pt>
                <c:pt idx="95">
                  <c:v>1.2049704805258117E-2</c:v>
                </c:pt>
                <c:pt idx="96">
                  <c:v>1.1021758939359302E-2</c:v>
                </c:pt>
                <c:pt idx="97">
                  <c:v>1.0076265133116751E-2</c:v>
                </c:pt>
                <c:pt idx="98">
                  <c:v>9.2058605824032903E-3</c:v>
                </c:pt>
                <c:pt idx="99">
                  <c:v>8.4116399403434683E-3</c:v>
                </c:pt>
                <c:pt idx="100">
                  <c:v>7.7050400129750436E-3</c:v>
                </c:pt>
                <c:pt idx="101">
                  <c:v>7.0525543036952009E-3</c:v>
                </c:pt>
                <c:pt idx="102">
                  <c:v>6.412369555722313E-3</c:v>
                </c:pt>
                <c:pt idx="103">
                  <c:v>5.8771213731889579E-3</c:v>
                </c:pt>
                <c:pt idx="104">
                  <c:v>5.3616581563335174E-3</c:v>
                </c:pt>
                <c:pt idx="105">
                  <c:v>4.9028018932553291E-3</c:v>
                </c:pt>
                <c:pt idx="106">
                  <c:v>4.4941901889631658E-3</c:v>
                </c:pt>
                <c:pt idx="107">
                  <c:v>4.1109817691816876E-3</c:v>
                </c:pt>
                <c:pt idx="108">
                  <c:v>3.757038624924984E-3</c:v>
                </c:pt>
                <c:pt idx="109">
                  <c:v>3.4332529091557888E-3</c:v>
                </c:pt>
                <c:pt idx="110">
                  <c:v>3.1286003666114643E-3</c:v>
                </c:pt>
                <c:pt idx="111">
                  <c:v>2.864842853227822E-3</c:v>
                </c:pt>
                <c:pt idx="112">
                  <c:v>2.6196139981308477E-3</c:v>
                </c:pt>
                <c:pt idx="113">
                  <c:v>2.393826353960671E-3</c:v>
                </c:pt>
                <c:pt idx="114">
                  <c:v>2.1885486846241245E-3</c:v>
                </c:pt>
                <c:pt idx="115">
                  <c:v>2.0022439196464088E-3</c:v>
                </c:pt>
                <c:pt idx="116">
                  <c:v>1.8304775441372822E-3</c:v>
                </c:pt>
                <c:pt idx="117">
                  <c:v>1.6735354597592937E-3</c:v>
                </c:pt>
                <c:pt idx="118">
                  <c:v>1.5418411638901343E-3</c:v>
                </c:pt>
              </c:numCache>
            </c:numRef>
          </c:xVal>
          <c:yVal>
            <c:numRef>
              <c:f>Table!$S$18:$S$136</c:f>
              <c:numCache>
                <c:formatCode>????0.000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7.6628352490421491E-4</c:v>
                </c:pt>
                <c:pt idx="33">
                  <c:v>4.597701149425289E-3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1.5325670498084303E-3</c:v>
                </c:pt>
                <c:pt idx="40">
                  <c:v>3.8314176245210735E-3</c:v>
                </c:pt>
                <c:pt idx="41">
                  <c:v>3.8314176245210748E-3</c:v>
                </c:pt>
                <c:pt idx="42">
                  <c:v>8.4291187739463647E-3</c:v>
                </c:pt>
                <c:pt idx="43">
                  <c:v>1.455938697318008E-2</c:v>
                </c:pt>
                <c:pt idx="44">
                  <c:v>2.2222222222222227E-2</c:v>
                </c:pt>
                <c:pt idx="45">
                  <c:v>3.9846743295019187E-2</c:v>
                </c:pt>
                <c:pt idx="46">
                  <c:v>6.6666666666666693E-2</c:v>
                </c:pt>
                <c:pt idx="47">
                  <c:v>0.14252873563218399</c:v>
                </c:pt>
                <c:pt idx="48">
                  <c:v>0.31111111111111123</c:v>
                </c:pt>
                <c:pt idx="49">
                  <c:v>0.5111111111111114</c:v>
                </c:pt>
                <c:pt idx="50">
                  <c:v>0.79616858237547916</c:v>
                </c:pt>
                <c:pt idx="51">
                  <c:v>0.93793103448275905</c:v>
                </c:pt>
                <c:pt idx="52">
                  <c:v>1</c:v>
                </c:pt>
                <c:pt idx="53">
                  <c:v>0.64444444444444515</c:v>
                </c:pt>
                <c:pt idx="54">
                  <c:v>0.36091954022988576</c:v>
                </c:pt>
                <c:pt idx="55">
                  <c:v>0.31800766283524867</c:v>
                </c:pt>
                <c:pt idx="56">
                  <c:v>0.29348659003831423</c:v>
                </c:pt>
                <c:pt idx="57">
                  <c:v>0.25900383141762429</c:v>
                </c:pt>
                <c:pt idx="58">
                  <c:v>0.23371647509578539</c:v>
                </c:pt>
                <c:pt idx="59">
                  <c:v>0.22222222222222229</c:v>
                </c:pt>
                <c:pt idx="60">
                  <c:v>0.20536398467433056</c:v>
                </c:pt>
                <c:pt idx="61">
                  <c:v>0.19540229885057445</c:v>
                </c:pt>
                <c:pt idx="62">
                  <c:v>0.18927203065134132</c:v>
                </c:pt>
                <c:pt idx="63">
                  <c:v>0.18314176245210689</c:v>
                </c:pt>
                <c:pt idx="64">
                  <c:v>0.17777777777777756</c:v>
                </c:pt>
                <c:pt idx="65">
                  <c:v>0.1693486590038317</c:v>
                </c:pt>
                <c:pt idx="66">
                  <c:v>0.17164750957854447</c:v>
                </c:pt>
                <c:pt idx="67">
                  <c:v>0.16398467432950239</c:v>
                </c:pt>
                <c:pt idx="68">
                  <c:v>0.16321839080459727</c:v>
                </c:pt>
                <c:pt idx="69">
                  <c:v>0.15632183908045902</c:v>
                </c:pt>
                <c:pt idx="70">
                  <c:v>0.15632183908046035</c:v>
                </c:pt>
                <c:pt idx="71">
                  <c:v>0.14865900383141828</c:v>
                </c:pt>
                <c:pt idx="72">
                  <c:v>0.14712643678160803</c:v>
                </c:pt>
                <c:pt idx="73">
                  <c:v>0.13639846743295073</c:v>
                </c:pt>
                <c:pt idx="74">
                  <c:v>0.14022988505747111</c:v>
                </c:pt>
                <c:pt idx="75">
                  <c:v>0.13793103448275967</c:v>
                </c:pt>
                <c:pt idx="76">
                  <c:v>0.13486590038314178</c:v>
                </c:pt>
                <c:pt idx="77">
                  <c:v>0.12796934865900353</c:v>
                </c:pt>
                <c:pt idx="78">
                  <c:v>0.12107279693486529</c:v>
                </c:pt>
                <c:pt idx="79">
                  <c:v>0.12490421455938698</c:v>
                </c:pt>
                <c:pt idx="80">
                  <c:v>0.11724137931034624</c:v>
                </c:pt>
                <c:pt idx="81">
                  <c:v>0.11111111111111049</c:v>
                </c:pt>
                <c:pt idx="82">
                  <c:v>0.11417624521072706</c:v>
                </c:pt>
                <c:pt idx="83">
                  <c:v>0.10881226053639906</c:v>
                </c:pt>
                <c:pt idx="84">
                  <c:v>0.10574712643678118</c:v>
                </c:pt>
                <c:pt idx="85">
                  <c:v>0.10881226053639906</c:v>
                </c:pt>
                <c:pt idx="86">
                  <c:v>0.101149425287357</c:v>
                </c:pt>
                <c:pt idx="87">
                  <c:v>0.10038314176245187</c:v>
                </c:pt>
                <c:pt idx="88">
                  <c:v>9.8850574712644246E-2</c:v>
                </c:pt>
                <c:pt idx="89">
                  <c:v>0.10038314176245187</c:v>
                </c:pt>
                <c:pt idx="90">
                  <c:v>9.5785440613026379E-2</c:v>
                </c:pt>
                <c:pt idx="91">
                  <c:v>9.5019157088122558E-2</c:v>
                </c:pt>
                <c:pt idx="92">
                  <c:v>8.8888888888889447E-2</c:v>
                </c:pt>
                <c:pt idx="93">
                  <c:v>9.1954022988504691E-2</c:v>
                </c:pt>
                <c:pt idx="94">
                  <c:v>8.6590038314178011E-2</c:v>
                </c:pt>
                <c:pt idx="95">
                  <c:v>8.1226053639846071E-2</c:v>
                </c:pt>
                <c:pt idx="96">
                  <c:v>7.8927203065133317E-2</c:v>
                </c:pt>
                <c:pt idx="97">
                  <c:v>7.9693486590038443E-2</c:v>
                </c:pt>
                <c:pt idx="98">
                  <c:v>6.4367816091954327E-2</c:v>
                </c:pt>
                <c:pt idx="99">
                  <c:v>6.6666666666667082E-2</c:v>
                </c:pt>
                <c:pt idx="100">
                  <c:v>6.2835249042145394E-2</c:v>
                </c:pt>
                <c:pt idx="101">
                  <c:v>5.5938697318007151E-2</c:v>
                </c:pt>
                <c:pt idx="102">
                  <c:v>5.6704980842912277E-2</c:v>
                </c:pt>
                <c:pt idx="103">
                  <c:v>5.3639846743295715E-2</c:v>
                </c:pt>
                <c:pt idx="104">
                  <c:v>4.9808429118774034E-2</c:v>
                </c:pt>
                <c:pt idx="105">
                  <c:v>4.5977011494252346E-2</c:v>
                </c:pt>
                <c:pt idx="106">
                  <c:v>4.0613026819923036E-2</c:v>
                </c:pt>
                <c:pt idx="107">
                  <c:v>4.5977011494252346E-2</c:v>
                </c:pt>
                <c:pt idx="108">
                  <c:v>3.7547892720307792E-2</c:v>
                </c:pt>
                <c:pt idx="109">
                  <c:v>2.7586206896551668E-2</c:v>
                </c:pt>
                <c:pt idx="110">
                  <c:v>2.8352490421455483E-2</c:v>
                </c:pt>
                <c:pt idx="111">
                  <c:v>2.0689655172414737E-2</c:v>
                </c:pt>
                <c:pt idx="112">
                  <c:v>1.8390804597700674E-2</c:v>
                </c:pt>
                <c:pt idx="113">
                  <c:v>1.6091954022987926E-2</c:v>
                </c:pt>
                <c:pt idx="114">
                  <c:v>1.1494252873563744E-2</c:v>
                </c:pt>
                <c:pt idx="115">
                  <c:v>9.9616858237534921E-3</c:v>
                </c:pt>
                <c:pt idx="116">
                  <c:v>1.3793103448276492E-2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Normalized Permeability</c:v>
          </c:tx>
          <c:marker>
            <c:symbol val="circle"/>
            <c:size val="5"/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2.9231225246459207</c:v>
                </c:pt>
                <c:pt idx="35">
                  <c:v>2.7016191131832614</c:v>
                </c:pt>
                <c:pt idx="36">
                  <c:v>2.4691414919159675</c:v>
                </c:pt>
                <c:pt idx="37">
                  <c:v>2.1995614826726708</c:v>
                </c:pt>
                <c:pt idx="38">
                  <c:v>2.0531228821343079</c:v>
                </c:pt>
                <c:pt idx="39">
                  <c:v>1.8395058443030379</c:v>
                </c:pt>
                <c:pt idx="40">
                  <c:v>1.6914240368601354</c:v>
                </c:pt>
                <c:pt idx="41">
                  <c:v>1.5530554868654509</c:v>
                </c:pt>
                <c:pt idx="42">
                  <c:v>1.4312528367778601</c:v>
                </c:pt>
                <c:pt idx="43">
                  <c:v>1.3002663149348461</c:v>
                </c:pt>
                <c:pt idx="44">
                  <c:v>1.193987406952435</c:v>
                </c:pt>
                <c:pt idx="45">
                  <c:v>1.0804299676503464</c:v>
                </c:pt>
                <c:pt idx="46">
                  <c:v>0.99764580470774644</c:v>
                </c:pt>
                <c:pt idx="47">
                  <c:v>0.89683508232753772</c:v>
                </c:pt>
                <c:pt idx="48">
                  <c:v>0.82543764347045412</c:v>
                </c:pt>
                <c:pt idx="49">
                  <c:v>0.75951928926934098</c:v>
                </c:pt>
                <c:pt idx="50">
                  <c:v>0.68992720068892543</c:v>
                </c:pt>
                <c:pt idx="51">
                  <c:v>0.63238267087563793</c:v>
                </c:pt>
                <c:pt idx="52">
                  <c:v>0.57963908429555033</c:v>
                </c:pt>
                <c:pt idx="53">
                  <c:v>0.52656565511000741</c:v>
                </c:pt>
                <c:pt idx="54">
                  <c:v>0.4813630946141596</c:v>
                </c:pt>
                <c:pt idx="55">
                  <c:v>0.43938336948763634</c:v>
                </c:pt>
                <c:pt idx="56">
                  <c:v>0.40163223393213254</c:v>
                </c:pt>
                <c:pt idx="57">
                  <c:v>0.36608352729474669</c:v>
                </c:pt>
                <c:pt idx="58">
                  <c:v>0.33616589415863246</c:v>
                </c:pt>
                <c:pt idx="59">
                  <c:v>0.30643146977033642</c:v>
                </c:pt>
                <c:pt idx="60">
                  <c:v>0.28044284336569758</c:v>
                </c:pt>
                <c:pt idx="61">
                  <c:v>0.25616087583309155</c:v>
                </c:pt>
                <c:pt idx="62">
                  <c:v>0.23412008843989879</c:v>
                </c:pt>
                <c:pt idx="63">
                  <c:v>0.21382833095716333</c:v>
                </c:pt>
                <c:pt idx="64">
                  <c:v>0.19585431420657456</c:v>
                </c:pt>
                <c:pt idx="65">
                  <c:v>0.17881118762783035</c:v>
                </c:pt>
                <c:pt idx="66">
                  <c:v>0.16290691468253507</c:v>
                </c:pt>
                <c:pt idx="67">
                  <c:v>0.14940951312416109</c:v>
                </c:pt>
                <c:pt idx="68">
                  <c:v>0.13644241686103262</c:v>
                </c:pt>
                <c:pt idx="69">
                  <c:v>0.12489419069533511</c:v>
                </c:pt>
                <c:pt idx="70">
                  <c:v>0.11406005399232629</c:v>
                </c:pt>
                <c:pt idx="71">
                  <c:v>0.10417338270436485</c:v>
                </c:pt>
                <c:pt idx="72">
                  <c:v>9.5195185268646468E-2</c:v>
                </c:pt>
                <c:pt idx="73">
                  <c:v>8.7350564194611957E-2</c:v>
                </c:pt>
                <c:pt idx="74">
                  <c:v>7.9884556183857439E-2</c:v>
                </c:pt>
                <c:pt idx="75">
                  <c:v>7.2838998890741399E-2</c:v>
                </c:pt>
                <c:pt idx="76">
                  <c:v>6.6490117805151086E-2</c:v>
                </c:pt>
                <c:pt idx="77">
                  <c:v>6.0700969621040025E-2</c:v>
                </c:pt>
                <c:pt idx="78">
                  <c:v>5.5571090901488054E-2</c:v>
                </c:pt>
                <c:pt idx="79">
                  <c:v>5.0590735745708749E-2</c:v>
                </c:pt>
                <c:pt idx="80">
                  <c:v>4.6327931800271699E-2</c:v>
                </c:pt>
                <c:pt idx="81">
                  <c:v>4.2471385520790751E-2</c:v>
                </c:pt>
                <c:pt idx="82">
                  <c:v>3.8703312576774986E-2</c:v>
                </c:pt>
                <c:pt idx="83">
                  <c:v>3.5409492469150247E-2</c:v>
                </c:pt>
                <c:pt idx="84">
                  <c:v>3.2410291306999704E-2</c:v>
                </c:pt>
                <c:pt idx="85">
                  <c:v>2.958094980764496E-2</c:v>
                </c:pt>
                <c:pt idx="86">
                  <c:v>2.7050143399939094E-2</c:v>
                </c:pt>
                <c:pt idx="87">
                  <c:v>2.4709585376510239E-2</c:v>
                </c:pt>
                <c:pt idx="88">
                  <c:v>2.258864999814824E-2</c:v>
                </c:pt>
                <c:pt idx="89">
                  <c:v>2.0663343523550058E-2</c:v>
                </c:pt>
                <c:pt idx="90">
                  <c:v>1.8913520229692993E-2</c:v>
                </c:pt>
                <c:pt idx="91">
                  <c:v>1.7273477094595101E-2</c:v>
                </c:pt>
                <c:pt idx="92">
                  <c:v>1.5783176216496168E-2</c:v>
                </c:pt>
                <c:pt idx="93">
                  <c:v>1.4421692081309058E-2</c:v>
                </c:pt>
                <c:pt idx="94">
                  <c:v>1.3195600067341006E-2</c:v>
                </c:pt>
                <c:pt idx="95">
                  <c:v>1.2049704805258117E-2</c:v>
                </c:pt>
                <c:pt idx="96">
                  <c:v>1.1021758939359302E-2</c:v>
                </c:pt>
                <c:pt idx="97">
                  <c:v>1.0076265133116751E-2</c:v>
                </c:pt>
                <c:pt idx="98">
                  <c:v>9.2058605824032903E-3</c:v>
                </c:pt>
                <c:pt idx="99">
                  <c:v>8.4116399403434683E-3</c:v>
                </c:pt>
                <c:pt idx="100">
                  <c:v>7.7050400129750436E-3</c:v>
                </c:pt>
                <c:pt idx="101">
                  <c:v>7.0525543036952009E-3</c:v>
                </c:pt>
                <c:pt idx="102">
                  <c:v>6.412369555722313E-3</c:v>
                </c:pt>
                <c:pt idx="103">
                  <c:v>5.8771213731889579E-3</c:v>
                </c:pt>
                <c:pt idx="104">
                  <c:v>5.3616581563335174E-3</c:v>
                </c:pt>
                <c:pt idx="105">
                  <c:v>4.9028018932553291E-3</c:v>
                </c:pt>
                <c:pt idx="106">
                  <c:v>4.4941901889631658E-3</c:v>
                </c:pt>
                <c:pt idx="107">
                  <c:v>4.1109817691816876E-3</c:v>
                </c:pt>
                <c:pt idx="108">
                  <c:v>3.757038624924984E-3</c:v>
                </c:pt>
                <c:pt idx="109">
                  <c:v>3.4332529091557888E-3</c:v>
                </c:pt>
                <c:pt idx="110">
                  <c:v>3.1286003666114643E-3</c:v>
                </c:pt>
                <c:pt idx="111">
                  <c:v>2.864842853227822E-3</c:v>
                </c:pt>
                <c:pt idx="112">
                  <c:v>2.6196139981308477E-3</c:v>
                </c:pt>
                <c:pt idx="113">
                  <c:v>2.393826353960671E-3</c:v>
                </c:pt>
                <c:pt idx="114">
                  <c:v>2.1885486846241245E-3</c:v>
                </c:pt>
                <c:pt idx="115">
                  <c:v>2.0022439196464088E-3</c:v>
                </c:pt>
                <c:pt idx="116">
                  <c:v>1.8304775441372822E-3</c:v>
                </c:pt>
                <c:pt idx="117">
                  <c:v>1.6735354597592937E-3</c:v>
                </c:pt>
                <c:pt idx="118">
                  <c:v>1.5418411638901343E-3</c:v>
                </c:pt>
              </c:numCache>
            </c:numRef>
          </c:xVal>
          <c:yVal>
            <c:numRef>
              <c:f>Table!$T$18:$T$136</c:f>
              <c:numCache>
                <c:formatCode>????0.000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0.99638397583987137</c:v>
                </c:pt>
                <c:pt idx="33">
                  <c:v>0.97812892722332967</c:v>
                </c:pt>
                <c:pt idx="34">
                  <c:v>0.97812892722332967</c:v>
                </c:pt>
                <c:pt idx="35">
                  <c:v>0.97812892722332967</c:v>
                </c:pt>
                <c:pt idx="36">
                  <c:v>0.97812892722332967</c:v>
                </c:pt>
                <c:pt idx="37">
                  <c:v>0.97812892722332967</c:v>
                </c:pt>
                <c:pt idx="38">
                  <c:v>0.97812892722332967</c:v>
                </c:pt>
                <c:pt idx="39">
                  <c:v>0.97606761324606472</c:v>
                </c:pt>
                <c:pt idx="40">
                  <c:v>0.97171062077988779</c:v>
                </c:pt>
                <c:pt idx="41">
                  <c:v>0.96803732620486527</c:v>
                </c:pt>
                <c:pt idx="42">
                  <c:v>0.96117395932542715</c:v>
                </c:pt>
                <c:pt idx="43">
                  <c:v>0.95138965318284141</c:v>
                </c:pt>
                <c:pt idx="44">
                  <c:v>0.93879723032561879</c:v>
                </c:pt>
                <c:pt idx="45">
                  <c:v>0.92030844433946046</c:v>
                </c:pt>
                <c:pt idx="46">
                  <c:v>0.89393396940983361</c:v>
                </c:pt>
                <c:pt idx="47">
                  <c:v>0.84836702259027652</c:v>
                </c:pt>
                <c:pt idx="48">
                  <c:v>0.76410994662163711</c:v>
                </c:pt>
                <c:pt idx="49">
                  <c:v>0.64691328027156336</c:v>
                </c:pt>
                <c:pt idx="50">
                  <c:v>0.49627550566945855</c:v>
                </c:pt>
                <c:pt idx="51">
                  <c:v>0.34718391533758197</c:v>
                </c:pt>
                <c:pt idx="52">
                  <c:v>0.2136358368915624</c:v>
                </c:pt>
                <c:pt idx="53">
                  <c:v>0.142610571925882</c:v>
                </c:pt>
                <c:pt idx="54">
                  <c:v>0.10936924920554936</c:v>
                </c:pt>
                <c:pt idx="55">
                  <c:v>8.4966029203967453E-2</c:v>
                </c:pt>
                <c:pt idx="56">
                  <c:v>6.6148278783731862E-2</c:v>
                </c:pt>
                <c:pt idx="57">
                  <c:v>5.2351144746315303E-2</c:v>
                </c:pt>
                <c:pt idx="58">
                  <c:v>4.1852845508387193E-2</c:v>
                </c:pt>
                <c:pt idx="59">
                  <c:v>3.3558606710505368E-2</c:v>
                </c:pt>
                <c:pt idx="60">
                  <c:v>2.7138602306994275E-2</c:v>
                </c:pt>
                <c:pt idx="61">
                  <c:v>2.204203706719321E-2</c:v>
                </c:pt>
                <c:pt idx="62">
                  <c:v>1.7918346011432496E-2</c:v>
                </c:pt>
                <c:pt idx="63">
                  <c:v>1.4589910080732404E-2</c:v>
                </c:pt>
                <c:pt idx="64">
                  <c:v>1.1879306059096262E-2</c:v>
                </c:pt>
                <c:pt idx="65">
                  <c:v>9.7270523864761982E-3</c:v>
                </c:pt>
                <c:pt idx="66">
                  <c:v>7.9163842294027731E-3</c:v>
                </c:pt>
                <c:pt idx="67">
                  <c:v>6.461320272842741E-3</c:v>
                </c:pt>
                <c:pt idx="68">
                  <c:v>5.2535336386554388E-3</c:v>
                </c:pt>
                <c:pt idx="69">
                  <c:v>4.2843045221689913E-3</c:v>
                </c:pt>
                <c:pt idx="70">
                  <c:v>3.4759365065933912E-3</c:v>
                </c:pt>
                <c:pt idx="71">
                  <c:v>2.8346869586900469E-3</c:v>
                </c:pt>
                <c:pt idx="72">
                  <c:v>2.3047270652862828E-3</c:v>
                </c:pt>
                <c:pt idx="73">
                  <c:v>1.8910482893808034E-3</c:v>
                </c:pt>
                <c:pt idx="74">
                  <c:v>1.5353444509826897E-3</c:v>
                </c:pt>
                <c:pt idx="75">
                  <c:v>1.2444655303937013E-3</c:v>
                </c:pt>
                <c:pt idx="76">
                  <c:v>1.0074708045598735E-3</c:v>
                </c:pt>
                <c:pt idx="77">
                  <c:v>8.2004924968237525E-4</c:v>
                </c:pt>
                <c:pt idx="78">
                  <c:v>6.7143284856796548E-4</c:v>
                </c:pt>
                <c:pt idx="79">
                  <c:v>5.4436332435447987E-4</c:v>
                </c:pt>
                <c:pt idx="80">
                  <c:v>4.4434281438632262E-4</c:v>
                </c:pt>
                <c:pt idx="81">
                  <c:v>3.6467687735197707E-4</c:v>
                </c:pt>
                <c:pt idx="82">
                  <c:v>2.9669481245298002E-4</c:v>
                </c:pt>
                <c:pt idx="83">
                  <c:v>2.4246481839429457E-4</c:v>
                </c:pt>
                <c:pt idx="84">
                  <c:v>1.9831216947763242E-4</c:v>
                </c:pt>
                <c:pt idx="85">
                  <c:v>1.6046578630946051E-4</c:v>
                </c:pt>
                <c:pt idx="86">
                  <c:v>1.3104699108779094E-4</c:v>
                </c:pt>
                <c:pt idx="87">
                  <c:v>1.0668493042398364E-4</c:v>
                </c:pt>
                <c:pt idx="88">
                  <c:v>8.6636421817165576E-5</c:v>
                </c:pt>
                <c:pt idx="89">
                  <c:v>6.9599768113715044E-5</c:v>
                </c:pt>
                <c:pt idx="90">
                  <c:v>5.5980098953356539E-5</c:v>
                </c:pt>
                <c:pt idx="91">
                  <c:v>4.4710900408029275E-5</c:v>
                </c:pt>
                <c:pt idx="92">
                  <c:v>3.5909361594699263E-5</c:v>
                </c:pt>
                <c:pt idx="93">
                  <c:v>2.8307403138638776E-5</c:v>
                </c:pt>
                <c:pt idx="94">
                  <c:v>2.231434430832735E-5</c:v>
                </c:pt>
                <c:pt idx="95">
                  <c:v>1.7626529041248062E-5</c:v>
                </c:pt>
                <c:pt idx="96">
                  <c:v>1.3815424608210058E-5</c:v>
                </c:pt>
                <c:pt idx="97">
                  <c:v>1.05992151806511E-5</c:v>
                </c:pt>
                <c:pt idx="98">
                  <c:v>8.4309126258119704E-6</c:v>
                </c:pt>
                <c:pt idx="99">
                  <c:v>6.5559508858337168E-6</c:v>
                </c:pt>
                <c:pt idx="100">
                  <c:v>5.0731751942700853E-6</c:v>
                </c:pt>
                <c:pt idx="101">
                  <c:v>3.967245430613886E-6</c:v>
                </c:pt>
                <c:pt idx="102">
                  <c:v>3.0404569751896204E-6</c:v>
                </c:pt>
                <c:pt idx="103">
                  <c:v>2.3040139249808078E-6</c:v>
                </c:pt>
                <c:pt idx="104">
                  <c:v>1.7348682924689385E-6</c:v>
                </c:pt>
                <c:pt idx="105">
                  <c:v>1.2955778555534536E-6</c:v>
                </c:pt>
                <c:pt idx="106">
                  <c:v>9.6952307448994191E-7</c:v>
                </c:pt>
                <c:pt idx="107">
                  <c:v>6.6066841297729439E-7</c:v>
                </c:pt>
                <c:pt idx="108">
                  <c:v>4.5000010440165994E-7</c:v>
                </c:pt>
                <c:pt idx="109">
                  <c:v>3.2075148792554131E-7</c:v>
                </c:pt>
                <c:pt idx="110">
                  <c:v>2.1044178466489427E-7</c:v>
                </c:pt>
                <c:pt idx="111">
                  <c:v>1.4294591743624352E-7</c:v>
                </c:pt>
                <c:pt idx="112">
                  <c:v>9.2781282656773101E-8</c:v>
                </c:pt>
                <c:pt idx="113">
                  <c:v>5.6127703373931581E-8</c:v>
                </c:pt>
                <c:pt idx="114">
                  <c:v>3.4244268531935518E-8</c:v>
                </c:pt>
                <c:pt idx="115">
                  <c:v>1.8370167942372007E-8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441408"/>
        <c:axId val="173443328"/>
      </c:scatterChart>
      <c:valAx>
        <c:axId val="173441408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37003231262758834"/>
              <c:y val="0.925774602248809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173443328"/>
        <c:crosses val="autoZero"/>
        <c:crossBetween val="midCat"/>
      </c:valAx>
      <c:valAx>
        <c:axId val="17344332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Distribution Function</a:t>
                </a:r>
              </a:p>
            </c:rich>
          </c:tx>
          <c:layout>
            <c:manualLayout>
              <c:xMode val="edge"/>
              <c:yMode val="edge"/>
              <c:x val="1.753793951647354E-2"/>
              <c:y val="0.414806277095512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173441408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1677187322108754"/>
          <c:y val="0.162399962596813"/>
          <c:w val="0.33481595735151376"/>
          <c:h val="0.19742154872150416"/>
        </c:manualLayout>
      </c:layout>
      <c:overlay val="0"/>
      <c:spPr>
        <a:solidFill>
          <a:srgbClr val="FFFFFF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solidFill>
      <a:schemeClr val="lt2"/>
    </a:solidFill>
    <a:ln w="3175">
      <a:solidFill>
        <a:sysClr val="windowText" lastClr="000000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66" r="0.75000000000000866" t="1" header="0.5" footer="0.5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59498670579271"/>
          <c:y val="0.15326975675683863"/>
          <c:w val="0.82827901825522265"/>
          <c:h val="0.72458777553660758"/>
        </c:manualLayout>
      </c:layout>
      <c:scatterChart>
        <c:scatterStyle val="lineMarker"/>
        <c:varyColors val="0"/>
        <c:ser>
          <c:idx val="0"/>
          <c:order val="0"/>
          <c:spPr>
            <a:ln w="15875">
              <a:solidFill>
                <a:schemeClr val="dk2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60000"/>
                  <a:lumOff val="40000"/>
                </a:schemeClr>
              </a:solidFill>
              <a:ln>
                <a:solidFill>
                  <a:schemeClr val="dk2">
                    <a:lumMod val="50000"/>
                  </a:schemeClr>
                </a:solidFill>
              </a:ln>
            </c:spPr>
          </c:marker>
          <c:xVal>
            <c:numRef>
              <c:f>Table!$F$18:$F$136</c:f>
              <c:numCache>
                <c:formatCode>???0.000</c:formatCode>
                <c:ptCount val="119"/>
                <c:pt idx="0">
                  <c:v>121.56245522530415</c:v>
                </c:pt>
                <c:pt idx="1">
                  <c:v>114.64098715790286</c:v>
                </c:pt>
                <c:pt idx="2">
                  <c:v>101.45376489371678</c:v>
                </c:pt>
                <c:pt idx="3">
                  <c:v>91.223620549137806</c:v>
                </c:pt>
                <c:pt idx="4">
                  <c:v>84.677220941518399</c:v>
                </c:pt>
                <c:pt idx="5">
                  <c:v>77.740301806795429</c:v>
                </c:pt>
                <c:pt idx="6">
                  <c:v>71.151476085964703</c:v>
                </c:pt>
                <c:pt idx="7">
                  <c:v>65.192965249774787</c:v>
                </c:pt>
                <c:pt idx="8">
                  <c:v>59.499645296486506</c:v>
                </c:pt>
                <c:pt idx="9">
                  <c:v>54.129509310324416</c:v>
                </c:pt>
                <c:pt idx="10">
                  <c:v>49.650681727627436</c:v>
                </c:pt>
                <c:pt idx="11">
                  <c:v>45.387208246263356</c:v>
                </c:pt>
                <c:pt idx="12">
                  <c:v>41.47659795981594</c:v>
                </c:pt>
                <c:pt idx="13">
                  <c:v>38.027576671382953</c:v>
                </c:pt>
                <c:pt idx="14">
                  <c:v>34.835150115750508</c:v>
                </c:pt>
                <c:pt idx="15">
                  <c:v>31.8027501780028</c:v>
                </c:pt>
                <c:pt idx="16">
                  <c:v>29.072219961336643</c:v>
                </c:pt>
                <c:pt idx="17">
                  <c:v>26.59021552882966</c:v>
                </c:pt>
                <c:pt idx="18">
                  <c:v>24.304084067780511</c:v>
                </c:pt>
                <c:pt idx="19">
                  <c:v>22.22007473261268</c:v>
                </c:pt>
                <c:pt idx="20">
                  <c:v>20.30852505033609</c:v>
                </c:pt>
                <c:pt idx="21">
                  <c:v>18.558011900368673</c:v>
                </c:pt>
                <c:pt idx="22">
                  <c:v>17.000990650087306</c:v>
                </c:pt>
                <c:pt idx="23">
                  <c:v>15.425848202447174</c:v>
                </c:pt>
                <c:pt idx="24">
                  <c:v>14.227684028997714</c:v>
                </c:pt>
                <c:pt idx="25">
                  <c:v>12.923214481590149</c:v>
                </c:pt>
                <c:pt idx="26">
                  <c:v>11.84290562182731</c:v>
                </c:pt>
                <c:pt idx="27">
                  <c:v>10.86428743188675</c:v>
                </c:pt>
                <c:pt idx="28">
                  <c:v>9.9235647072488717</c:v>
                </c:pt>
                <c:pt idx="29">
                  <c:v>9.0449149510601199</c:v>
                </c:pt>
                <c:pt idx="30">
                  <c:v>8.2738352181673527</c:v>
                </c:pt>
                <c:pt idx="31">
                  <c:v>7.5417053711641886</c:v>
                </c:pt>
                <c:pt idx="32">
                  <c:v>6.8911190559159277</c:v>
                </c:pt>
                <c:pt idx="33">
                  <c:v>6.321060734388559</c:v>
                </c:pt>
                <c:pt idx="34">
                  <c:v>5.8462450492918414</c:v>
                </c:pt>
                <c:pt idx="35">
                  <c:v>5.4032382263665228</c:v>
                </c:pt>
                <c:pt idx="36">
                  <c:v>4.9382829838319351</c:v>
                </c:pt>
                <c:pt idx="37">
                  <c:v>4.3991229653453416</c:v>
                </c:pt>
                <c:pt idx="38">
                  <c:v>4.1062457642686159</c:v>
                </c:pt>
                <c:pt idx="39">
                  <c:v>3.6790116886060757</c:v>
                </c:pt>
                <c:pt idx="40">
                  <c:v>3.3828480737202709</c:v>
                </c:pt>
                <c:pt idx="41">
                  <c:v>3.1061109737309018</c:v>
                </c:pt>
                <c:pt idx="42">
                  <c:v>2.8625056735557202</c:v>
                </c:pt>
                <c:pt idx="43">
                  <c:v>2.6005326298696922</c:v>
                </c:pt>
                <c:pt idx="44">
                  <c:v>2.38797481390487</c:v>
                </c:pt>
                <c:pt idx="45">
                  <c:v>2.1608599353006928</c:v>
                </c:pt>
                <c:pt idx="46">
                  <c:v>1.9952916094154929</c:v>
                </c:pt>
                <c:pt idx="47">
                  <c:v>1.7936701646550754</c:v>
                </c:pt>
                <c:pt idx="48">
                  <c:v>1.6508752869409082</c:v>
                </c:pt>
                <c:pt idx="49">
                  <c:v>1.519038578538682</c:v>
                </c:pt>
                <c:pt idx="50">
                  <c:v>1.3798544013778509</c:v>
                </c:pt>
                <c:pt idx="51">
                  <c:v>1.2647653417512759</c:v>
                </c:pt>
                <c:pt idx="52">
                  <c:v>1.1592781685911007</c:v>
                </c:pt>
                <c:pt idx="53">
                  <c:v>1.0531313102200148</c:v>
                </c:pt>
                <c:pt idx="54">
                  <c:v>0.96272618922831921</c:v>
                </c:pt>
                <c:pt idx="55">
                  <c:v>0.87876673897527269</c:v>
                </c:pt>
                <c:pt idx="56">
                  <c:v>0.80326446786426509</c:v>
                </c:pt>
                <c:pt idx="57">
                  <c:v>0.73216705458949338</c:v>
                </c:pt>
                <c:pt idx="58">
                  <c:v>0.67233178831726492</c:v>
                </c:pt>
                <c:pt idx="59">
                  <c:v>0.61286293954067284</c:v>
                </c:pt>
                <c:pt idx="60">
                  <c:v>0.56088568673139516</c:v>
                </c:pt>
                <c:pt idx="61">
                  <c:v>0.5123217516661831</c:v>
                </c:pt>
                <c:pt idx="62">
                  <c:v>0.46824017687979758</c:v>
                </c:pt>
                <c:pt idx="63">
                  <c:v>0.42765666191432666</c:v>
                </c:pt>
                <c:pt idx="64">
                  <c:v>0.39170862841314913</c:v>
                </c:pt>
                <c:pt idx="65">
                  <c:v>0.35762237525566071</c:v>
                </c:pt>
                <c:pt idx="66">
                  <c:v>0.32581382936507014</c:v>
                </c:pt>
                <c:pt idx="67">
                  <c:v>0.29881902624832218</c:v>
                </c:pt>
                <c:pt idx="68">
                  <c:v>0.27288483372206523</c:v>
                </c:pt>
                <c:pt idx="69">
                  <c:v>0.24978838139067022</c:v>
                </c:pt>
                <c:pt idx="70">
                  <c:v>0.22812010798465257</c:v>
                </c:pt>
                <c:pt idx="71">
                  <c:v>0.20834676540872971</c:v>
                </c:pt>
                <c:pt idx="72">
                  <c:v>0.19039037053729294</c:v>
                </c:pt>
                <c:pt idx="73">
                  <c:v>0.17470112838922391</c:v>
                </c:pt>
                <c:pt idx="74">
                  <c:v>0.15976911236771488</c:v>
                </c:pt>
                <c:pt idx="75">
                  <c:v>0.1456779977814828</c:v>
                </c:pt>
                <c:pt idx="76">
                  <c:v>0.13298023561030217</c:v>
                </c:pt>
                <c:pt idx="77">
                  <c:v>0.12140193924208005</c:v>
                </c:pt>
                <c:pt idx="78">
                  <c:v>0.11114218180297611</c:v>
                </c:pt>
                <c:pt idx="79">
                  <c:v>0.1011814714914175</c:v>
                </c:pt>
                <c:pt idx="80">
                  <c:v>9.2655863600543398E-2</c:v>
                </c:pt>
                <c:pt idx="81">
                  <c:v>8.4942771041581502E-2</c:v>
                </c:pt>
                <c:pt idx="82">
                  <c:v>7.7406625153549971E-2</c:v>
                </c:pt>
                <c:pt idx="83">
                  <c:v>7.0818984938300494E-2</c:v>
                </c:pt>
                <c:pt idx="84">
                  <c:v>6.4820582613999408E-2</c:v>
                </c:pt>
                <c:pt idx="85">
                  <c:v>5.916189961528992E-2</c:v>
                </c:pt>
                <c:pt idx="86">
                  <c:v>5.4100286799878189E-2</c:v>
                </c:pt>
                <c:pt idx="87">
                  <c:v>4.9419170753020478E-2</c:v>
                </c:pt>
                <c:pt idx="88">
                  <c:v>4.517729999629648E-2</c:v>
                </c:pt>
                <c:pt idx="89">
                  <c:v>4.1326687047100116E-2</c:v>
                </c:pt>
                <c:pt idx="90">
                  <c:v>3.7827040459385987E-2</c:v>
                </c:pt>
                <c:pt idx="91">
                  <c:v>3.4546954189190203E-2</c:v>
                </c:pt>
                <c:pt idx="92">
                  <c:v>3.1566352432992335E-2</c:v>
                </c:pt>
                <c:pt idx="93">
                  <c:v>2.8843384162618117E-2</c:v>
                </c:pt>
                <c:pt idx="94">
                  <c:v>2.6391200134682012E-2</c:v>
                </c:pt>
                <c:pt idx="95">
                  <c:v>2.4099409610516234E-2</c:v>
                </c:pt>
                <c:pt idx="96">
                  <c:v>2.2043517878718603E-2</c:v>
                </c:pt>
                <c:pt idx="97">
                  <c:v>2.0152530266233502E-2</c:v>
                </c:pt>
                <c:pt idx="98">
                  <c:v>1.8411721164806581E-2</c:v>
                </c:pt>
                <c:pt idx="99">
                  <c:v>1.6823279880686937E-2</c:v>
                </c:pt>
                <c:pt idx="100">
                  <c:v>1.5410080025950087E-2</c:v>
                </c:pt>
                <c:pt idx="101">
                  <c:v>1.4105108607390402E-2</c:v>
                </c:pt>
                <c:pt idx="102">
                  <c:v>1.2824739111444626E-2</c:v>
                </c:pt>
                <c:pt idx="103">
                  <c:v>1.1754242746377916E-2</c:v>
                </c:pt>
                <c:pt idx="104">
                  <c:v>1.0723316312667035E-2</c:v>
                </c:pt>
                <c:pt idx="105">
                  <c:v>9.8056037865106582E-3</c:v>
                </c:pt>
                <c:pt idx="106">
                  <c:v>8.9883803779263315E-3</c:v>
                </c:pt>
                <c:pt idx="107">
                  <c:v>8.2219635383633752E-3</c:v>
                </c:pt>
                <c:pt idx="108">
                  <c:v>7.5140772498499681E-3</c:v>
                </c:pt>
                <c:pt idx="109">
                  <c:v>6.8665058183115775E-3</c:v>
                </c:pt>
                <c:pt idx="110">
                  <c:v>6.2572007332229286E-3</c:v>
                </c:pt>
                <c:pt idx="111">
                  <c:v>5.729685706455644E-3</c:v>
                </c:pt>
                <c:pt idx="112">
                  <c:v>5.2392279962616955E-3</c:v>
                </c:pt>
                <c:pt idx="113">
                  <c:v>4.7876527079213421E-3</c:v>
                </c:pt>
                <c:pt idx="114">
                  <c:v>4.3770973692482491E-3</c:v>
                </c:pt>
                <c:pt idx="115">
                  <c:v>4.0044878392928177E-3</c:v>
                </c:pt>
                <c:pt idx="116">
                  <c:v>3.6609550882745643E-3</c:v>
                </c:pt>
                <c:pt idx="117">
                  <c:v>3.3470709195185873E-3</c:v>
                </c:pt>
                <c:pt idx="118">
                  <c:v>3.0836823277802686E-3</c:v>
                </c:pt>
              </c:numCache>
            </c:numRef>
          </c:xVal>
          <c:yVal>
            <c:numRef>
              <c:f>Table!$H$18:$H$136</c:f>
              <c:numCache>
                <c:formatCode>????0.00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1.9346200555724769E-2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1.2948346020778819E-2</c:v>
                </c:pt>
                <c:pt idx="40">
                  <c:v>3.2370865051947278E-2</c:v>
                </c:pt>
                <c:pt idx="41">
                  <c:v>3.2370865051947278E-2</c:v>
                </c:pt>
                <c:pt idx="42">
                  <c:v>7.1215903114284204E-2</c:v>
                </c:pt>
                <c:pt idx="43">
                  <c:v>0.12300928719739948</c:v>
                </c:pt>
                <c:pt idx="44">
                  <c:v>0.18775101730129401</c:v>
                </c:pt>
                <c:pt idx="45">
                  <c:v>0.3366569965402515</c:v>
                </c:pt>
                <c:pt idx="46">
                  <c:v>0.56325305190388208</c:v>
                </c:pt>
                <c:pt idx="47">
                  <c:v>1.2041961799324383</c:v>
                </c:pt>
                <c:pt idx="48">
                  <c:v>2.6285142422181158</c:v>
                </c:pt>
                <c:pt idx="49">
                  <c:v>4.3182733979297634</c:v>
                </c:pt>
                <c:pt idx="50">
                  <c:v>6.7266657577946329</c:v>
                </c:pt>
                <c:pt idx="51">
                  <c:v>7.9243877647166912</c:v>
                </c:pt>
                <c:pt idx="52">
                  <c:v>8.4487957785582282</c:v>
                </c:pt>
                <c:pt idx="53">
                  <c:v>5.4447795017375356</c:v>
                </c:pt>
                <c:pt idx="54">
                  <c:v>3.0493354878934298</c:v>
                </c:pt>
                <c:pt idx="55">
                  <c:v>2.6867817993116248</c:v>
                </c:pt>
                <c:pt idx="56">
                  <c:v>2.4796082629791556</c:v>
                </c:pt>
                <c:pt idx="57">
                  <c:v>2.1882704775116295</c:v>
                </c:pt>
                <c:pt idx="58">
                  <c:v>1.9746227681687856</c:v>
                </c:pt>
                <c:pt idx="59">
                  <c:v>1.8775101730129364</c:v>
                </c:pt>
                <c:pt idx="60">
                  <c:v>1.7350783667843714</c:v>
                </c:pt>
                <c:pt idx="61">
                  <c:v>1.6509141176493145</c:v>
                </c:pt>
                <c:pt idx="62">
                  <c:v>1.5991207335661954</c:v>
                </c:pt>
                <c:pt idx="63">
                  <c:v>1.5473273494830764</c:v>
                </c:pt>
                <c:pt idx="64">
                  <c:v>1.5020081384103534</c:v>
                </c:pt>
                <c:pt idx="65">
                  <c:v>1.4307922352960603</c:v>
                </c:pt>
                <c:pt idx="66">
                  <c:v>1.4502147543272272</c:v>
                </c:pt>
                <c:pt idx="67">
                  <c:v>1.3854730242233444</c:v>
                </c:pt>
                <c:pt idx="68">
                  <c:v>1.3789988512129696</c:v>
                </c:pt>
                <c:pt idx="69">
                  <c:v>1.3207312941194544</c:v>
                </c:pt>
                <c:pt idx="70">
                  <c:v>1.3207312941194402</c:v>
                </c:pt>
                <c:pt idx="71">
                  <c:v>1.2559895640155645</c:v>
                </c:pt>
                <c:pt idx="72">
                  <c:v>1.2430412179947581</c:v>
                </c:pt>
                <c:pt idx="73">
                  <c:v>1.1524027958493264</c:v>
                </c:pt>
                <c:pt idx="74">
                  <c:v>1.1847736609012713</c:v>
                </c:pt>
                <c:pt idx="75">
                  <c:v>1.1653511418701044</c:v>
                </c:pt>
                <c:pt idx="76">
                  <c:v>1.1394544498285484</c:v>
                </c:pt>
                <c:pt idx="77">
                  <c:v>1.0811868927350332</c:v>
                </c:pt>
                <c:pt idx="78">
                  <c:v>1.0229193356415323</c:v>
                </c:pt>
                <c:pt idx="79">
                  <c:v>1.0552902006934772</c:v>
                </c:pt>
                <c:pt idx="80">
                  <c:v>0.99054847058960149</c:v>
                </c:pt>
                <c:pt idx="81">
                  <c:v>0.93875508650646111</c:v>
                </c:pt>
                <c:pt idx="82">
                  <c:v>0.9646517785480313</c:v>
                </c:pt>
                <c:pt idx="83">
                  <c:v>0.91933256747529413</c:v>
                </c:pt>
                <c:pt idx="84">
                  <c:v>0.89343587543373815</c:v>
                </c:pt>
                <c:pt idx="85">
                  <c:v>0.91933256747530834</c:v>
                </c:pt>
                <c:pt idx="86">
                  <c:v>0.85459083737141839</c:v>
                </c:pt>
                <c:pt idx="87">
                  <c:v>0.84811666436100097</c:v>
                </c:pt>
                <c:pt idx="88">
                  <c:v>0.8351683183402514</c:v>
                </c:pt>
                <c:pt idx="89">
                  <c:v>0.84811666436101518</c:v>
                </c:pt>
                <c:pt idx="90">
                  <c:v>0.809271626298667</c:v>
                </c:pt>
                <c:pt idx="91">
                  <c:v>0.80279745328829222</c:v>
                </c:pt>
                <c:pt idx="92">
                  <c:v>0.75100406920518026</c:v>
                </c:pt>
                <c:pt idx="93">
                  <c:v>0.77690076124673624</c:v>
                </c:pt>
                <c:pt idx="94">
                  <c:v>0.73158155017401327</c:v>
                </c:pt>
                <c:pt idx="95">
                  <c:v>0.6862623391012761</c:v>
                </c:pt>
                <c:pt idx="96">
                  <c:v>0.66683982007010911</c:v>
                </c:pt>
                <c:pt idx="97">
                  <c:v>0.67331399308051232</c:v>
                </c:pt>
                <c:pt idx="98">
                  <c:v>0.543830532872704</c:v>
                </c:pt>
                <c:pt idx="99">
                  <c:v>0.5632530519038994</c:v>
                </c:pt>
                <c:pt idx="100">
                  <c:v>0.53088218685192601</c:v>
                </c:pt>
                <c:pt idx="101">
                  <c:v>0.47261462975842505</c:v>
                </c:pt>
                <c:pt idx="102">
                  <c:v>0.47908880276882826</c:v>
                </c:pt>
                <c:pt idx="103">
                  <c:v>0.45319211072725807</c:v>
                </c:pt>
                <c:pt idx="104">
                  <c:v>0.4208212456753273</c:v>
                </c:pt>
                <c:pt idx="105">
                  <c:v>0.38845038062335391</c:v>
                </c:pt>
                <c:pt idx="106">
                  <c:v>0.34313116955064515</c:v>
                </c:pt>
                <c:pt idx="107">
                  <c:v>0.38845038062335391</c:v>
                </c:pt>
                <c:pt idx="108">
                  <c:v>0.31723447750908917</c:v>
                </c:pt>
                <c:pt idx="109">
                  <c:v>0.23307022837403224</c:v>
                </c:pt>
                <c:pt idx="110">
                  <c:v>0.23954440138439281</c:v>
                </c:pt>
                <c:pt idx="111">
                  <c:v>0.17480267128053129</c:v>
                </c:pt>
                <c:pt idx="112">
                  <c:v>0.15538015224933588</c:v>
                </c:pt>
                <c:pt idx="113">
                  <c:v>0.1359576332181831</c:v>
                </c:pt>
                <c:pt idx="114">
                  <c:v>9.7112595155849135E-2</c:v>
                </c:pt>
                <c:pt idx="115">
                  <c:v>8.4164249135042724E-2</c:v>
                </c:pt>
                <c:pt idx="116">
                  <c:v>0.11653511418701612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3472000"/>
        <c:axId val="173499136"/>
      </c:scatterChart>
      <c:valAx>
        <c:axId val="173472000"/>
        <c:scaling>
          <c:logBase val="10"/>
          <c:orientation val="minMax"/>
          <c:max val="100"/>
          <c:min val="1.0000000000000041E-3"/>
        </c:scaling>
        <c:delete val="0"/>
        <c:axPos val="t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gradFill rotWithShape="1"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Pore Aperture Diameter (microns)</a:t>
                </a:r>
              </a:p>
            </c:rich>
          </c:tx>
          <c:layout>
            <c:manualLayout>
              <c:xMode val="edge"/>
              <c:yMode val="edge"/>
              <c:x val="0.36675497039079008"/>
              <c:y val="0.92355761574540307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/>
            </a:pPr>
            <a:endParaRPr lang="en-US"/>
          </a:p>
        </c:txPr>
        <c:crossAx val="173499136"/>
        <c:crosses val="autoZero"/>
        <c:crossBetween val="midCat"/>
        <c:majorUnit val="10"/>
        <c:minorUnit val="10"/>
      </c:valAx>
      <c:valAx>
        <c:axId val="173499136"/>
        <c:scaling>
          <c:orientation val="maxMin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Incremental Intrusion as Percent of Pore Volume</a:t>
                </a:r>
              </a:p>
            </c:rich>
          </c:tx>
          <c:layout>
            <c:manualLayout>
              <c:xMode val="edge"/>
              <c:yMode val="edge"/>
              <c:x val="1.0568979145875295E-2"/>
              <c:y val="0.2125122153495171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580"/>
            </a:pPr>
            <a:endParaRPr lang="en-US"/>
          </a:p>
        </c:txPr>
        <c:crossAx val="173472000"/>
        <c:crossesAt val="1.0000000000000041E-3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0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0.75000000000000955" l="0.70000000000000062" r="0.70000000000000062" t="0.7500000000000095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2.jpeg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152400</xdr:rowOff>
    </xdr:to>
    <xdr:pic>
      <xdr:nvPicPr>
        <xdr:cNvPr id="33822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7925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58872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7</xdr:row>
      <xdr:rowOff>161924</xdr:rowOff>
    </xdr:from>
    <xdr:to>
      <xdr:col>5</xdr:col>
      <xdr:colOff>19812</xdr:colOff>
      <xdr:row>26</xdr:row>
      <xdr:rowOff>2666</xdr:rowOff>
    </xdr:to>
    <xdr:graphicFrame macro="">
      <xdr:nvGraphicFramePr>
        <xdr:cNvPr id="27923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</xdr:colOff>
      <xdr:row>8</xdr:row>
      <xdr:rowOff>2666</xdr:rowOff>
    </xdr:from>
    <xdr:to>
      <xdr:col>10</xdr:col>
      <xdr:colOff>11049</xdr:colOff>
      <xdr:row>26</xdr:row>
      <xdr:rowOff>5333</xdr:rowOff>
    </xdr:to>
    <xdr:graphicFrame macro="">
      <xdr:nvGraphicFramePr>
        <xdr:cNvPr id="11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8</xdr:row>
      <xdr:rowOff>0</xdr:rowOff>
    </xdr:from>
    <xdr:to>
      <xdr:col>14</xdr:col>
      <xdr:colOff>540444</xdr:colOff>
      <xdr:row>26</xdr:row>
      <xdr:rowOff>2667</xdr:rowOff>
    </xdr:to>
    <xdr:graphicFrame macro="">
      <xdr:nvGraphicFramePr>
        <xdr:cNvPr id="2792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25</xdr:row>
      <xdr:rowOff>147759</xdr:rowOff>
    </xdr:from>
    <xdr:to>
      <xdr:col>5</xdr:col>
      <xdr:colOff>19812</xdr:colOff>
      <xdr:row>43</xdr:row>
      <xdr:rowOff>161924</xdr:rowOff>
    </xdr:to>
    <xdr:graphicFrame macro="">
      <xdr:nvGraphicFramePr>
        <xdr:cNvPr id="27924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540445</xdr:colOff>
      <xdr:row>25</xdr:row>
      <xdr:rowOff>147761</xdr:rowOff>
    </xdr:from>
    <xdr:to>
      <xdr:col>15</xdr:col>
      <xdr:colOff>0</xdr:colOff>
      <xdr:row>44</xdr:row>
      <xdr:rowOff>0</xdr:rowOff>
    </xdr:to>
    <xdr:graphicFrame macro="">
      <xdr:nvGraphicFramePr>
        <xdr:cNvPr id="10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114300</xdr:rowOff>
    </xdr:to>
    <xdr:pic>
      <xdr:nvPicPr>
        <xdr:cNvPr id="29826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9827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14</xdr:col>
      <xdr:colOff>862742</xdr:colOff>
      <xdr:row>30</xdr:row>
      <xdr:rowOff>159258</xdr:rowOff>
    </xdr:to>
    <xdr:graphicFrame macro="">
      <xdr:nvGraphicFramePr>
        <xdr:cNvPr id="2983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983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7</xdr:col>
      <xdr:colOff>320802</xdr:colOff>
      <xdr:row>53</xdr:row>
      <xdr:rowOff>159258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3048</xdr:colOff>
      <xdr:row>31</xdr:row>
      <xdr:rowOff>0</xdr:rowOff>
    </xdr:from>
    <xdr:to>
      <xdr:col>15</xdr:col>
      <xdr:colOff>0</xdr:colOff>
      <xdr:row>53</xdr:row>
      <xdr:rowOff>159258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142875</xdr:rowOff>
    </xdr:to>
    <xdr:pic>
      <xdr:nvPicPr>
        <xdr:cNvPr id="2080" name="Picture 3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1"/>
  <sheetViews>
    <sheetView showGridLines="0" tabSelected="1" workbookViewId="0">
      <pane xSplit="2" ySplit="17" topLeftCell="C18" activePane="bottomRight" state="frozen"/>
      <selection activeCell="E35" sqref="E35"/>
      <selection pane="topRight" activeCell="E35" sqref="E35"/>
      <selection pane="bottomLeft" activeCell="E35" sqref="E35"/>
      <selection pane="bottomRight" activeCell="A11" sqref="A11"/>
    </sheetView>
  </sheetViews>
  <sheetFormatPr defaultColWidth="8.85546875" defaultRowHeight="12.75" x14ac:dyDescent="0.2"/>
  <cols>
    <col min="1" max="1" width="8.85546875" style="45"/>
    <col min="2" max="2" width="10.7109375" style="45" customWidth="1"/>
    <col min="3" max="3" width="16.140625" style="45" customWidth="1"/>
    <col min="4" max="4" width="10.5703125" style="45" customWidth="1"/>
    <col min="5" max="5" width="9.5703125" style="45" customWidth="1"/>
    <col min="6" max="6" width="10.7109375" style="45" customWidth="1"/>
    <col min="7" max="14" width="9.5703125" style="45" customWidth="1"/>
    <col min="15" max="15" width="8.85546875" style="45"/>
    <col min="16" max="17" width="10.7109375" style="45" customWidth="1"/>
    <col min="18" max="19" width="8.85546875" style="45"/>
    <col min="20" max="20" width="9.5703125" style="45" bestFit="1" customWidth="1"/>
    <col min="21" max="21" width="8.85546875" style="45"/>
    <col min="22" max="22" width="7.5703125" style="45" customWidth="1"/>
    <col min="23" max="23" width="11.5703125" style="133" bestFit="1" customWidth="1"/>
    <col min="24" max="24" width="13" style="133" customWidth="1"/>
    <col min="25" max="37" width="8.85546875" style="133"/>
    <col min="38" max="38" width="15.85546875" style="133" customWidth="1"/>
    <col min="39" max="16384" width="8.85546875" style="133"/>
  </cols>
  <sheetData>
    <row r="1" spans="1:40" x14ac:dyDescent="0.2">
      <c r="X1" s="144"/>
      <c r="Y1" s="80"/>
      <c r="Z1" s="80"/>
      <c r="AA1" s="97"/>
      <c r="AB1" s="97"/>
    </row>
    <row r="2" spans="1:40" x14ac:dyDescent="0.2">
      <c r="X2" s="137"/>
      <c r="Y2" s="137"/>
      <c r="Z2" s="92"/>
      <c r="AA2" s="92"/>
      <c r="AB2" s="112"/>
      <c r="AC2" s="112"/>
    </row>
    <row r="3" spans="1:40" x14ac:dyDescent="0.2">
      <c r="X3" s="79"/>
      <c r="Y3" s="146"/>
      <c r="Z3" s="83"/>
      <c r="AA3" s="112"/>
      <c r="AB3" s="91"/>
      <c r="AC3" s="91"/>
    </row>
    <row r="4" spans="1:40" x14ac:dyDescent="0.2">
      <c r="X4" s="79"/>
      <c r="Y4" s="146"/>
      <c r="Z4" s="83"/>
      <c r="AA4" s="112"/>
      <c r="AB4" s="91"/>
      <c r="AC4" s="91"/>
      <c r="AL4" s="59"/>
      <c r="AM4" s="59"/>
      <c r="AN4" s="59"/>
    </row>
    <row r="5" spans="1:40" ht="15.75" x14ac:dyDescent="0.25">
      <c r="A5" s="160" t="s">
        <v>11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74"/>
      <c r="O5" s="74"/>
      <c r="P5" s="74"/>
      <c r="Q5" s="74"/>
      <c r="R5" s="74"/>
      <c r="S5" s="74"/>
      <c r="T5" s="150"/>
      <c r="U5" s="62"/>
      <c r="V5" s="62"/>
      <c r="W5" s="146"/>
      <c r="X5" s="79"/>
      <c r="Y5" s="146"/>
      <c r="Z5" s="112"/>
      <c r="AA5" s="124"/>
      <c r="AB5" s="124"/>
      <c r="AC5" s="124"/>
      <c r="AL5" s="59"/>
      <c r="AM5" s="59"/>
      <c r="AN5" s="59"/>
    </row>
    <row r="6" spans="1:40" x14ac:dyDescent="0.2">
      <c r="A6" s="46"/>
      <c r="B6" s="62"/>
      <c r="C6" s="62"/>
      <c r="D6" s="62"/>
      <c r="E6" s="46"/>
      <c r="F6" s="46"/>
      <c r="G6" s="46"/>
      <c r="H6" s="46"/>
      <c r="I6" s="46"/>
      <c r="J6" s="46"/>
      <c r="K6" s="46"/>
      <c r="L6" s="46"/>
      <c r="M6" s="46"/>
      <c r="N6" s="46"/>
      <c r="O6" s="62"/>
      <c r="P6" s="62"/>
      <c r="Q6" s="62"/>
      <c r="R6" s="46"/>
      <c r="S6" s="62"/>
      <c r="T6" s="62"/>
      <c r="U6" s="62"/>
      <c r="V6" s="62"/>
      <c r="W6" s="146"/>
      <c r="X6" s="79"/>
      <c r="Y6" s="146"/>
      <c r="Z6" s="112"/>
      <c r="AA6" s="134"/>
      <c r="AB6" s="83"/>
      <c r="AC6" s="83"/>
      <c r="AL6" s="59"/>
      <c r="AM6" s="59"/>
      <c r="AN6" s="59"/>
    </row>
    <row r="7" spans="1:40" ht="12.4" customHeight="1" x14ac:dyDescent="0.2">
      <c r="A7" s="159" t="str">
        <f>Table!A7</f>
        <v>NordAq Energy Inc.</v>
      </c>
      <c r="B7" s="46"/>
      <c r="C7" s="46"/>
      <c r="D7" s="46"/>
      <c r="E7" s="62"/>
      <c r="F7" s="62"/>
      <c r="G7" s="62"/>
      <c r="H7" s="62"/>
      <c r="I7" s="45" t="str">
        <f>Table!L7</f>
        <v>Sample Number:</v>
      </c>
      <c r="M7" s="152" t="str">
        <f>Table!P7</f>
        <v>7</v>
      </c>
      <c r="N7" s="62"/>
      <c r="O7" s="159"/>
      <c r="P7" s="84"/>
      <c r="Q7" s="137"/>
      <c r="R7" s="137"/>
      <c r="S7" s="92"/>
      <c r="T7" s="134"/>
      <c r="U7" s="77"/>
      <c r="V7" s="83"/>
      <c r="AE7" s="94"/>
      <c r="AF7" s="19"/>
      <c r="AG7" s="19"/>
    </row>
    <row r="8" spans="1:40" ht="12.4" customHeight="1" x14ac:dyDescent="0.2">
      <c r="A8" s="159" t="str">
        <f>Table!A8</f>
        <v>East Simpson No. 2 (USGS/Husky 1980)</v>
      </c>
      <c r="B8" s="46"/>
      <c r="C8" s="46"/>
      <c r="D8" s="46"/>
      <c r="E8" s="46"/>
      <c r="F8" s="46"/>
      <c r="G8" s="46"/>
      <c r="H8" s="46"/>
      <c r="I8" s="45" t="str">
        <f>Table!L8</f>
        <v>Sample Depth, m:</v>
      </c>
      <c r="M8" s="96">
        <f>Table!P8</f>
        <v>6069.2</v>
      </c>
      <c r="N8" s="62"/>
      <c r="O8" s="159"/>
      <c r="P8" s="84"/>
      <c r="Q8" s="137"/>
      <c r="R8" s="137"/>
      <c r="S8" s="92"/>
      <c r="T8" s="134"/>
      <c r="U8" s="77"/>
      <c r="V8" s="83"/>
      <c r="AE8" s="33"/>
      <c r="AF8" s="19"/>
      <c r="AG8" s="19"/>
    </row>
    <row r="9" spans="1:40" ht="12.4" customHeight="1" x14ac:dyDescent="0.2">
      <c r="A9" s="159" t="str">
        <f>Table!A9</f>
        <v>Torok Sandstones Formation</v>
      </c>
      <c r="B9" s="46"/>
      <c r="C9" s="46"/>
      <c r="D9" s="46"/>
      <c r="E9" s="46"/>
      <c r="F9" s="46"/>
      <c r="G9" s="46"/>
      <c r="H9" s="46"/>
      <c r="I9" s="151" t="str">
        <f>Table!L9</f>
        <v>Permeability to Air (calc), mD:</v>
      </c>
      <c r="K9" s="46"/>
      <c r="L9" s="46"/>
      <c r="M9" s="43">
        <f>Table!P9</f>
        <v>1.0990210793031179</v>
      </c>
      <c r="N9" s="62"/>
      <c r="O9" s="159" t="s">
        <v>38</v>
      </c>
      <c r="P9" s="84"/>
      <c r="Q9" s="146"/>
      <c r="R9" s="137"/>
      <c r="S9" s="137"/>
      <c r="T9" s="37"/>
      <c r="U9" s="37"/>
      <c r="V9" s="131"/>
      <c r="AE9" s="33"/>
      <c r="AF9" s="19"/>
      <c r="AG9" s="19"/>
    </row>
    <row r="10" spans="1:40" ht="12.4" customHeight="1" x14ac:dyDescent="0.2">
      <c r="A10" s="159" t="str">
        <f>Table!A10</f>
        <v>HH-61176</v>
      </c>
      <c r="B10" s="46"/>
      <c r="C10" s="46"/>
      <c r="D10" s="46"/>
      <c r="E10" s="62"/>
      <c r="F10" s="62"/>
      <c r="G10" s="62"/>
      <c r="H10" s="62"/>
      <c r="I10" s="151" t="str">
        <f>Table!L10</f>
        <v>Porosity, fraction:</v>
      </c>
      <c r="K10" s="46"/>
      <c r="L10" s="46"/>
      <c r="M10" s="117">
        <f>K30</f>
        <v>0.14002059360133434</v>
      </c>
      <c r="N10" s="62"/>
      <c r="O10" s="50" t="s">
        <v>38</v>
      </c>
      <c r="P10" s="139"/>
      <c r="Q10" s="146"/>
      <c r="R10" s="137"/>
      <c r="S10" s="137"/>
      <c r="T10" s="37"/>
      <c r="U10" s="92"/>
      <c r="V10" s="131"/>
      <c r="AE10" s="33"/>
      <c r="AF10" s="19"/>
      <c r="AG10" s="19"/>
    </row>
    <row r="11" spans="1:40" ht="12.4" customHeight="1" x14ac:dyDescent="0.2">
      <c r="A11" s="158"/>
      <c r="B11" s="46"/>
      <c r="C11" s="46"/>
      <c r="D11" s="46"/>
      <c r="E11" s="62"/>
      <c r="F11" s="62"/>
      <c r="G11" s="62"/>
      <c r="H11" s="46"/>
      <c r="I11" s="45" t="str">
        <f>Table!L11</f>
        <v>Grain Density, grams/cc:</v>
      </c>
      <c r="M11" s="43">
        <f>L30</f>
        <v>2.6797722054266497</v>
      </c>
      <c r="N11" s="62"/>
      <c r="O11" s="50" t="s">
        <v>38</v>
      </c>
      <c r="P11" s="139"/>
      <c r="Q11" s="137"/>
      <c r="R11" s="144"/>
      <c r="S11" s="80"/>
      <c r="T11" s="80"/>
      <c r="U11" s="106"/>
      <c r="V11" s="133"/>
      <c r="AE11" s="33"/>
      <c r="AF11" s="19"/>
      <c r="AG11" s="19"/>
    </row>
    <row r="12" spans="1:40" ht="12.4" customHeight="1" x14ac:dyDescent="0.2">
      <c r="A12" s="159"/>
      <c r="B12" s="46"/>
      <c r="C12" s="46"/>
      <c r="D12" s="46"/>
      <c r="E12" s="46"/>
      <c r="F12" s="46"/>
      <c r="G12" s="46"/>
      <c r="H12" s="46"/>
      <c r="I12" s="46"/>
      <c r="J12" s="151"/>
      <c r="K12" s="46"/>
      <c r="L12" s="46"/>
      <c r="M12" s="117"/>
      <c r="N12" s="62"/>
      <c r="O12" s="20"/>
      <c r="P12" s="112"/>
      <c r="Q12" s="137"/>
      <c r="R12" s="146"/>
      <c r="S12" s="137"/>
      <c r="T12" s="40"/>
      <c r="U12" s="146"/>
      <c r="V12" s="133"/>
      <c r="AE12" s="19"/>
      <c r="AF12" s="19"/>
      <c r="AG12" s="19"/>
    </row>
    <row r="13" spans="1:40" ht="12.4" customHeight="1" x14ac:dyDescent="0.2">
      <c r="A13" s="88"/>
      <c r="B13" s="88" t="s">
        <v>57</v>
      </c>
      <c r="C13" s="88" t="s">
        <v>56</v>
      </c>
      <c r="D13" s="88" t="s">
        <v>57</v>
      </c>
      <c r="E13" s="88" t="s">
        <v>56</v>
      </c>
      <c r="F13" s="88" t="s">
        <v>91</v>
      </c>
      <c r="G13" s="78"/>
      <c r="H13" s="78"/>
      <c r="N13" s="62"/>
      <c r="O13" s="20"/>
      <c r="P13" s="112"/>
      <c r="Q13" s="137"/>
      <c r="R13" s="137"/>
      <c r="S13" s="137"/>
      <c r="T13" s="40"/>
      <c r="U13" s="137"/>
      <c r="V13" s="133"/>
      <c r="AE13" s="19"/>
      <c r="AF13" s="19"/>
      <c r="AG13" s="19"/>
    </row>
    <row r="14" spans="1:40" ht="12.4" customHeight="1" x14ac:dyDescent="0.2">
      <c r="A14" s="67" t="s">
        <v>84</v>
      </c>
      <c r="B14" s="67" t="s">
        <v>62</v>
      </c>
      <c r="C14" s="67" t="s">
        <v>62</v>
      </c>
      <c r="D14" s="67" t="s">
        <v>62</v>
      </c>
      <c r="E14" s="67" t="s">
        <v>62</v>
      </c>
      <c r="F14" s="67" t="s">
        <v>49</v>
      </c>
      <c r="G14" s="78"/>
      <c r="H14" s="78"/>
      <c r="I14" s="63"/>
      <c r="J14" s="63"/>
      <c r="K14" s="63"/>
      <c r="L14" s="63"/>
      <c r="M14" s="63"/>
      <c r="N14" s="62"/>
      <c r="O14" s="20"/>
      <c r="P14" s="112"/>
      <c r="Q14" s="137"/>
      <c r="R14" s="137"/>
      <c r="S14" s="137"/>
      <c r="T14" s="40"/>
      <c r="U14" s="137"/>
      <c r="V14" s="133"/>
      <c r="AE14" s="19"/>
      <c r="AF14" s="19"/>
      <c r="AG14" s="19"/>
    </row>
    <row r="15" spans="1:40" ht="12.4" customHeight="1" x14ac:dyDescent="0.2">
      <c r="A15" s="67" t="s">
        <v>77</v>
      </c>
      <c r="B15" s="67" t="s">
        <v>3</v>
      </c>
      <c r="C15" s="67" t="s">
        <v>3</v>
      </c>
      <c r="D15" s="67" t="s">
        <v>5</v>
      </c>
      <c r="E15" s="67" t="s">
        <v>5</v>
      </c>
      <c r="F15" s="67" t="s">
        <v>5</v>
      </c>
      <c r="G15" s="78"/>
      <c r="H15" s="78"/>
      <c r="I15" s="78"/>
      <c r="J15" s="78"/>
      <c r="K15" s="78"/>
      <c r="L15" s="63"/>
      <c r="M15" s="63"/>
      <c r="N15" s="46"/>
      <c r="O15" s="20"/>
      <c r="P15" s="112"/>
      <c r="Q15" s="137"/>
      <c r="R15" s="137"/>
      <c r="S15" s="137"/>
      <c r="T15" s="40"/>
      <c r="U15" s="137"/>
      <c r="V15" s="133"/>
      <c r="AE15" s="19"/>
      <c r="AF15" s="19"/>
      <c r="AG15" s="19"/>
    </row>
    <row r="16" spans="1:40" ht="12.4" customHeight="1" x14ac:dyDescent="0.2">
      <c r="A16" s="157" t="s">
        <v>48</v>
      </c>
      <c r="B16" s="157" t="s">
        <v>35</v>
      </c>
      <c r="C16" s="157" t="s">
        <v>35</v>
      </c>
      <c r="D16" s="157" t="s">
        <v>25</v>
      </c>
      <c r="E16" s="157" t="s">
        <v>25</v>
      </c>
      <c r="F16" s="157" t="s">
        <v>25</v>
      </c>
      <c r="G16" s="78"/>
      <c r="H16" s="78"/>
      <c r="I16" s="78"/>
      <c r="J16" s="78"/>
      <c r="K16" s="78"/>
      <c r="L16" s="78"/>
      <c r="M16" s="78"/>
      <c r="N16" s="46"/>
      <c r="O16" s="112"/>
      <c r="P16" s="112"/>
      <c r="Q16" s="146"/>
      <c r="R16" s="133"/>
      <c r="S16" s="133"/>
      <c r="T16" s="133"/>
      <c r="U16" s="133"/>
      <c r="V16" s="133"/>
      <c r="AE16" s="19"/>
      <c r="AF16" s="19"/>
      <c r="AG16" s="19"/>
    </row>
    <row r="17" spans="1:35" ht="12.4" customHeight="1" x14ac:dyDescent="0.2">
      <c r="A17" s="62"/>
      <c r="B17" s="62"/>
      <c r="E17" s="62"/>
      <c r="F17" s="62"/>
      <c r="G17" s="62"/>
      <c r="H17" s="62"/>
      <c r="I17" s="62"/>
      <c r="J17" s="62"/>
      <c r="K17" s="62"/>
      <c r="L17" s="62"/>
      <c r="M17" s="62"/>
      <c r="N17" s="46"/>
      <c r="O17" s="112"/>
      <c r="P17" s="112"/>
      <c r="Q17" s="79"/>
      <c r="R17" s="146"/>
      <c r="S17" s="146"/>
      <c r="T17" s="90"/>
      <c r="U17" s="133"/>
      <c r="V17" s="133"/>
      <c r="AE17" s="19"/>
      <c r="AF17" s="19"/>
      <c r="AG17" s="19"/>
    </row>
    <row r="18" spans="1:35" ht="12.4" customHeight="1" x14ac:dyDescent="0.2">
      <c r="A18" s="121">
        <v>1.5079505443572998</v>
      </c>
      <c r="B18" s="143">
        <v>0</v>
      </c>
      <c r="C18" s="126">
        <f t="shared" ref="C18:C136" si="0">IF(B18-I$34&lt;0,0,B18-I$34)</f>
        <v>0</v>
      </c>
      <c r="D18" s="126">
        <f t="shared" ref="D18:D136" si="1">B18/$B$136</f>
        <v>0</v>
      </c>
      <c r="E18" s="126">
        <f t="shared" ref="E18:E136" si="2">C18/$H$30</f>
        <v>0</v>
      </c>
      <c r="F18" s="126">
        <f t="shared" ref="F18:F136" si="3">E18-E17</f>
        <v>0</v>
      </c>
      <c r="G18" s="126"/>
      <c r="H18" s="111" t="s">
        <v>19</v>
      </c>
      <c r="I18" s="61"/>
      <c r="J18" s="61"/>
      <c r="K18" s="61"/>
      <c r="L18" s="61"/>
      <c r="M18" s="52"/>
      <c r="O18" s="121"/>
      <c r="P18" s="112"/>
      <c r="Q18" s="103"/>
      <c r="R18" s="101"/>
      <c r="S18" s="110"/>
      <c r="T18" s="25"/>
      <c r="U18" s="25"/>
      <c r="V18" s="25"/>
      <c r="W18" s="35"/>
      <c r="X18" s="103"/>
      <c r="AG18" s="19"/>
      <c r="AH18" s="19"/>
      <c r="AI18" s="19"/>
    </row>
    <row r="19" spans="1:35" ht="12.4" customHeight="1" x14ac:dyDescent="0.2">
      <c r="A19" s="121">
        <v>1.5989933013916016</v>
      </c>
      <c r="B19" s="143">
        <v>1.5835901487791639E-3</v>
      </c>
      <c r="C19" s="126">
        <f t="shared" si="0"/>
        <v>0</v>
      </c>
      <c r="D19" s="126">
        <f t="shared" si="1"/>
        <v>9.9120677896631692E-4</v>
      </c>
      <c r="E19" s="126">
        <f t="shared" si="2"/>
        <v>0</v>
      </c>
      <c r="F19" s="126">
        <f t="shared" si="3"/>
        <v>0</v>
      </c>
      <c r="G19" s="126"/>
      <c r="H19" s="88" t="s">
        <v>88</v>
      </c>
      <c r="I19" s="88" t="s">
        <v>2</v>
      </c>
      <c r="J19" s="88" t="s">
        <v>83</v>
      </c>
      <c r="K19" s="88"/>
      <c r="L19" s="88" t="s">
        <v>83</v>
      </c>
      <c r="M19" s="88" t="s">
        <v>15</v>
      </c>
      <c r="O19" s="121"/>
      <c r="P19" s="112"/>
      <c r="Q19" s="103"/>
      <c r="R19" s="101"/>
      <c r="S19" s="78"/>
      <c r="T19" s="78"/>
      <c r="U19" s="78"/>
      <c r="V19" s="78"/>
      <c r="W19" s="35"/>
      <c r="X19" s="103"/>
      <c r="AG19" s="19"/>
      <c r="AH19" s="19"/>
      <c r="AI19" s="19"/>
    </row>
    <row r="20" spans="1:35" ht="12.4" customHeight="1" x14ac:dyDescent="0.2">
      <c r="A20" s="121">
        <v>1.8068345785140991</v>
      </c>
      <c r="B20" s="143">
        <v>2.8504623801979103E-3</v>
      </c>
      <c r="C20" s="126">
        <f t="shared" si="0"/>
        <v>0</v>
      </c>
      <c r="D20" s="126">
        <f t="shared" si="1"/>
        <v>1.7841722724903373E-3</v>
      </c>
      <c r="E20" s="126">
        <f t="shared" si="2"/>
        <v>0</v>
      </c>
      <c r="F20" s="126">
        <f t="shared" si="3"/>
        <v>0</v>
      </c>
      <c r="G20" s="126"/>
      <c r="H20" s="67" t="s">
        <v>3</v>
      </c>
      <c r="I20" s="67" t="s">
        <v>3</v>
      </c>
      <c r="J20" s="67" t="s">
        <v>3</v>
      </c>
      <c r="K20" s="67" t="s">
        <v>61</v>
      </c>
      <c r="L20" s="67" t="s">
        <v>39</v>
      </c>
      <c r="M20" s="67" t="s">
        <v>9</v>
      </c>
      <c r="O20" s="121"/>
      <c r="P20" s="112"/>
      <c r="Q20" s="103"/>
      <c r="R20" s="101"/>
      <c r="S20" s="78"/>
      <c r="T20" s="78"/>
      <c r="U20" s="78"/>
      <c r="V20" s="78"/>
      <c r="W20" s="35"/>
      <c r="X20" s="103"/>
      <c r="AG20" s="19"/>
      <c r="AH20" s="19"/>
      <c r="AI20" s="19"/>
    </row>
    <row r="21" spans="1:35" ht="12.4" customHeight="1" x14ac:dyDescent="0.2">
      <c r="A21" s="121">
        <v>2.0094594955444336</v>
      </c>
      <c r="B21" s="143">
        <v>8.488043332330818E-3</v>
      </c>
      <c r="C21" s="126">
        <f t="shared" si="0"/>
        <v>0</v>
      </c>
      <c r="D21" s="126">
        <f t="shared" si="1"/>
        <v>5.3128684196806202E-3</v>
      </c>
      <c r="E21" s="126">
        <f t="shared" si="2"/>
        <v>0</v>
      </c>
      <c r="F21" s="126">
        <f t="shared" si="3"/>
        <v>0</v>
      </c>
      <c r="G21" s="126"/>
      <c r="H21" s="157" t="s">
        <v>35</v>
      </c>
      <c r="I21" s="157" t="s">
        <v>35</v>
      </c>
      <c r="J21" s="157" t="s">
        <v>35</v>
      </c>
      <c r="K21" s="157" t="s">
        <v>25</v>
      </c>
      <c r="L21" s="157" t="s">
        <v>26</v>
      </c>
      <c r="M21" s="157" t="s">
        <v>18</v>
      </c>
      <c r="O21" s="121"/>
      <c r="P21" s="112"/>
      <c r="Q21" s="103"/>
      <c r="R21" s="101"/>
      <c r="S21" s="78"/>
      <c r="T21" s="78"/>
      <c r="U21" s="78"/>
      <c r="V21" s="78"/>
      <c r="W21" s="35"/>
      <c r="X21" s="103"/>
      <c r="AG21" s="122"/>
      <c r="AH21" s="19"/>
      <c r="AI21" s="19"/>
    </row>
    <row r="22" spans="1:35" ht="12.4" customHeight="1" x14ac:dyDescent="0.2">
      <c r="A22" s="121">
        <v>2.1648108959197998</v>
      </c>
      <c r="B22" s="143">
        <v>1.2415347455787195E-2</v>
      </c>
      <c r="C22" s="126">
        <f t="shared" si="0"/>
        <v>0</v>
      </c>
      <c r="D22" s="126">
        <f t="shared" si="1"/>
        <v>7.7710615785818553E-3</v>
      </c>
      <c r="E22" s="126">
        <f t="shared" si="2"/>
        <v>0</v>
      </c>
      <c r="F22" s="126">
        <f t="shared" si="3"/>
        <v>0</v>
      </c>
      <c r="G22" s="126"/>
      <c r="H22" s="27"/>
      <c r="I22" s="121"/>
      <c r="J22" s="121"/>
      <c r="K22" s="121"/>
      <c r="L22" s="121"/>
      <c r="M22" s="121"/>
      <c r="O22" s="121"/>
      <c r="P22" s="112"/>
      <c r="Q22" s="103"/>
      <c r="R22" s="101"/>
      <c r="S22" s="120"/>
      <c r="T22" s="35"/>
      <c r="U22" s="35"/>
      <c r="V22" s="35"/>
      <c r="W22" s="35"/>
      <c r="X22" s="103"/>
      <c r="AG22" s="122"/>
      <c r="AH22" s="19"/>
      <c r="AI22" s="19"/>
    </row>
    <row r="23" spans="1:35" ht="12.4" customHeight="1" x14ac:dyDescent="0.2">
      <c r="A23" s="121">
        <v>2.3579812049865723</v>
      </c>
      <c r="B23" s="143">
        <v>1.6722711431609978E-2</v>
      </c>
      <c r="C23" s="126">
        <f t="shared" si="0"/>
        <v>0</v>
      </c>
      <c r="D23" s="126">
        <f t="shared" si="1"/>
        <v>1.0467143248199669E-2</v>
      </c>
      <c r="E23" s="126">
        <f t="shared" si="2"/>
        <v>0</v>
      </c>
      <c r="F23" s="126">
        <f t="shared" si="3"/>
        <v>0</v>
      </c>
      <c r="G23" s="126"/>
      <c r="H23" s="23">
        <f>I23-J23</f>
        <v>1.83</v>
      </c>
      <c r="I23" s="23">
        <v>11.32</v>
      </c>
      <c r="J23" s="23">
        <v>9.49</v>
      </c>
      <c r="K23" s="86">
        <f>H23/I23</f>
        <v>0.16166077738515902</v>
      </c>
      <c r="L23" s="23">
        <f>M23/J23</f>
        <v>2.6788198103266598</v>
      </c>
      <c r="M23" s="23">
        <v>25.422000000000001</v>
      </c>
      <c r="O23" s="156"/>
      <c r="P23" s="112"/>
      <c r="Q23" s="103"/>
      <c r="R23" s="101"/>
      <c r="S23" s="64"/>
      <c r="T23" s="64"/>
      <c r="U23" s="64"/>
      <c r="V23" s="64"/>
      <c r="W23" s="35"/>
      <c r="X23" s="103"/>
      <c r="AG23" s="122"/>
      <c r="AH23" s="19"/>
      <c r="AI23" s="19"/>
    </row>
    <row r="24" spans="1:35" ht="12.4" customHeight="1" x14ac:dyDescent="0.2">
      <c r="A24" s="121">
        <v>2.5763368606567383</v>
      </c>
      <c r="B24" s="143">
        <v>2.2423636192005797E-2</v>
      </c>
      <c r="C24" s="126">
        <f t="shared" si="0"/>
        <v>0</v>
      </c>
      <c r="D24" s="126">
        <f t="shared" si="1"/>
        <v>1.4035487793180342E-2</v>
      </c>
      <c r="E24" s="126">
        <f t="shared" si="2"/>
        <v>0</v>
      </c>
      <c r="F24" s="126">
        <f t="shared" si="3"/>
        <v>0</v>
      </c>
      <c r="G24" s="126"/>
      <c r="O24" s="121"/>
      <c r="P24" s="112"/>
      <c r="Q24" s="103"/>
      <c r="R24" s="101"/>
      <c r="S24" s="133"/>
      <c r="T24" s="133"/>
      <c r="U24" s="133"/>
      <c r="V24" s="133"/>
      <c r="W24" s="35"/>
      <c r="X24" s="103"/>
      <c r="AG24" s="122"/>
      <c r="AH24" s="19"/>
      <c r="AI24" s="19"/>
    </row>
    <row r="25" spans="1:35" ht="12.4" customHeight="1" x14ac:dyDescent="0.2">
      <c r="A25" s="121">
        <v>2.8118090629577637</v>
      </c>
      <c r="B25" s="143">
        <v>2.7681156542469526E-2</v>
      </c>
      <c r="C25" s="126">
        <f t="shared" si="0"/>
        <v>0</v>
      </c>
      <c r="D25" s="126">
        <f t="shared" si="1"/>
        <v>1.7326294960647602E-2</v>
      </c>
      <c r="E25" s="126">
        <f t="shared" si="2"/>
        <v>0</v>
      </c>
      <c r="F25" s="126">
        <f t="shared" si="3"/>
        <v>0</v>
      </c>
      <c r="G25" s="126"/>
      <c r="H25" s="111" t="s">
        <v>76</v>
      </c>
      <c r="I25" s="61"/>
      <c r="J25" s="61"/>
      <c r="K25" s="61"/>
      <c r="L25" s="61"/>
      <c r="M25" s="52"/>
      <c r="O25" s="121"/>
      <c r="P25" s="112"/>
      <c r="Q25" s="103"/>
      <c r="R25" s="101"/>
      <c r="S25" s="110"/>
      <c r="T25" s="25"/>
      <c r="U25" s="25"/>
      <c r="V25" s="25"/>
      <c r="W25" s="35"/>
      <c r="X25" s="103"/>
      <c r="AG25" s="155"/>
      <c r="AH25" s="19"/>
      <c r="AI25" s="19"/>
    </row>
    <row r="26" spans="1:35" ht="12.4" customHeight="1" x14ac:dyDescent="0.2">
      <c r="A26" s="121">
        <v>3.0808615684509277</v>
      </c>
      <c r="B26" s="143">
        <v>3.4902325208147594E-2</v>
      </c>
      <c r="C26" s="126">
        <f t="shared" si="0"/>
        <v>0</v>
      </c>
      <c r="D26" s="126">
        <f t="shared" si="1"/>
        <v>2.1846196362533255E-2</v>
      </c>
      <c r="E26" s="126">
        <f t="shared" si="2"/>
        <v>0</v>
      </c>
      <c r="F26" s="126">
        <f t="shared" si="3"/>
        <v>0</v>
      </c>
      <c r="G26" s="126"/>
      <c r="H26" s="88" t="s">
        <v>88</v>
      </c>
      <c r="I26" s="88" t="s">
        <v>2</v>
      </c>
      <c r="J26" s="88" t="s">
        <v>83</v>
      </c>
      <c r="K26" s="88"/>
      <c r="L26" s="88" t="s">
        <v>83</v>
      </c>
      <c r="M26" s="88" t="s">
        <v>15</v>
      </c>
      <c r="O26" s="121"/>
      <c r="P26" s="112"/>
      <c r="Q26" s="103"/>
      <c r="R26" s="101"/>
      <c r="S26" s="78"/>
      <c r="T26" s="78"/>
      <c r="U26" s="78"/>
      <c r="V26" s="78"/>
      <c r="W26" s="35"/>
      <c r="X26" s="103"/>
      <c r="AG26" s="155"/>
      <c r="AH26" s="19"/>
      <c r="AI26" s="19"/>
    </row>
    <row r="27" spans="1:35" ht="12.4" customHeight="1" x14ac:dyDescent="0.2">
      <c r="A27" s="121">
        <v>3.3865108489990234</v>
      </c>
      <c r="B27" s="143">
        <v>3.9653099588324629E-2</v>
      </c>
      <c r="C27" s="126">
        <f t="shared" si="0"/>
        <v>0</v>
      </c>
      <c r="D27" s="126">
        <f t="shared" si="1"/>
        <v>2.481981916171604E-2</v>
      </c>
      <c r="E27" s="126">
        <f t="shared" si="2"/>
        <v>0</v>
      </c>
      <c r="F27" s="126">
        <f t="shared" si="3"/>
        <v>0</v>
      </c>
      <c r="G27" s="126"/>
      <c r="H27" s="67" t="s">
        <v>3</v>
      </c>
      <c r="I27" s="67" t="s">
        <v>3</v>
      </c>
      <c r="J27" s="67" t="s">
        <v>3</v>
      </c>
      <c r="K27" s="67" t="s">
        <v>61</v>
      </c>
      <c r="L27" s="67" t="s">
        <v>39</v>
      </c>
      <c r="M27" s="67" t="s">
        <v>9</v>
      </c>
      <c r="O27" s="121"/>
      <c r="P27" s="112"/>
      <c r="Q27" s="103"/>
      <c r="R27" s="101"/>
      <c r="S27" s="78"/>
      <c r="T27" s="78"/>
      <c r="U27" s="78"/>
      <c r="V27" s="78"/>
      <c r="W27" s="35"/>
      <c r="X27" s="103"/>
      <c r="AG27" s="155"/>
      <c r="AH27" s="19"/>
      <c r="AI27" s="19"/>
    </row>
    <row r="28" spans="1:35" ht="12.4" customHeight="1" x14ac:dyDescent="0.2">
      <c r="A28" s="121">
        <v>3.6919970512390137</v>
      </c>
      <c r="B28" s="143">
        <v>4.2060153812076603E-2</v>
      </c>
      <c r="C28" s="126">
        <f t="shared" si="0"/>
        <v>0</v>
      </c>
      <c r="D28" s="126">
        <f t="shared" si="1"/>
        <v>2.6326451711660745E-2</v>
      </c>
      <c r="E28" s="126">
        <f t="shared" si="2"/>
        <v>0</v>
      </c>
      <c r="F28" s="126">
        <f t="shared" si="3"/>
        <v>0</v>
      </c>
      <c r="G28" s="126"/>
      <c r="H28" s="157" t="s">
        <v>35</v>
      </c>
      <c r="I28" s="157" t="s">
        <v>35</v>
      </c>
      <c r="J28" s="157" t="s">
        <v>35</v>
      </c>
      <c r="K28" s="157" t="s">
        <v>25</v>
      </c>
      <c r="L28" s="157" t="s">
        <v>26</v>
      </c>
      <c r="M28" s="157" t="s">
        <v>18</v>
      </c>
      <c r="O28" s="121"/>
      <c r="P28" s="112"/>
      <c r="Q28" s="103"/>
      <c r="R28" s="101"/>
      <c r="S28" s="78"/>
      <c r="T28" s="78"/>
      <c r="U28" s="78"/>
      <c r="V28" s="78"/>
      <c r="W28" s="35"/>
      <c r="X28" s="103"/>
      <c r="AG28" s="155"/>
      <c r="AH28" s="19"/>
      <c r="AI28" s="19"/>
    </row>
    <row r="29" spans="1:35" ht="12.4" customHeight="1" x14ac:dyDescent="0.2">
      <c r="A29" s="121">
        <v>4.0388069152832031</v>
      </c>
      <c r="B29" s="143">
        <v>4.3580402213175475E-2</v>
      </c>
      <c r="C29" s="126">
        <f t="shared" si="0"/>
        <v>0</v>
      </c>
      <c r="D29" s="126">
        <f t="shared" si="1"/>
        <v>2.7278011382604394E-2</v>
      </c>
      <c r="E29" s="126">
        <f t="shared" si="2"/>
        <v>0</v>
      </c>
      <c r="F29" s="126">
        <f t="shared" si="3"/>
        <v>0</v>
      </c>
      <c r="G29" s="126"/>
      <c r="H29" s="27"/>
      <c r="I29" s="121"/>
      <c r="J29" s="121"/>
      <c r="K29" s="121"/>
      <c r="L29" s="121"/>
      <c r="M29" s="121"/>
      <c r="O29" s="121"/>
      <c r="P29" s="112"/>
      <c r="Q29" s="103"/>
      <c r="R29" s="101"/>
      <c r="S29" s="120"/>
      <c r="T29" s="35"/>
      <c r="U29" s="35"/>
      <c r="V29" s="35"/>
      <c r="W29" s="35"/>
      <c r="X29" s="103"/>
      <c r="AG29" s="28"/>
      <c r="AH29" s="19"/>
      <c r="AI29" s="19"/>
    </row>
    <row r="30" spans="1:35" ht="12.4" customHeight="1" x14ac:dyDescent="0.2">
      <c r="A30" s="121">
        <v>4.4196047782897949</v>
      </c>
      <c r="B30" s="143">
        <v>4.4783932322262542E-2</v>
      </c>
      <c r="C30" s="126">
        <f t="shared" si="0"/>
        <v>0</v>
      </c>
      <c r="D30" s="126">
        <f t="shared" si="1"/>
        <v>2.803132953360252E-2</v>
      </c>
      <c r="E30" s="126">
        <f t="shared" si="2"/>
        <v>0</v>
      </c>
      <c r="F30" s="126">
        <f t="shared" si="3"/>
        <v>0</v>
      </c>
      <c r="G30" s="126"/>
      <c r="H30" s="23">
        <f>C136</f>
        <v>1.544598821185728</v>
      </c>
      <c r="I30" s="23">
        <v>11.031226060814305</v>
      </c>
      <c r="J30" s="23">
        <f>I30-H30</f>
        <v>9.4866272396285769</v>
      </c>
      <c r="K30" s="86">
        <f>H30/I30</f>
        <v>0.14002059360133434</v>
      </c>
      <c r="L30" s="23">
        <f>M30/J30</f>
        <v>2.6797722054266497</v>
      </c>
      <c r="M30" s="23">
        <f>M23</f>
        <v>25.422000000000001</v>
      </c>
      <c r="N30" s="128"/>
      <c r="O30" s="126"/>
      <c r="P30" s="112"/>
      <c r="Q30" s="133"/>
      <c r="R30" s="101"/>
      <c r="S30" s="64"/>
      <c r="T30" s="64"/>
      <c r="U30" s="64"/>
      <c r="V30" s="64"/>
      <c r="W30" s="49"/>
      <c r="X30" s="47"/>
    </row>
    <row r="31" spans="1:35" ht="12.4" customHeight="1" x14ac:dyDescent="0.2">
      <c r="A31" s="121">
        <v>4.8204536437988281</v>
      </c>
      <c r="B31" s="143">
        <v>4.5480708968035209E-2</v>
      </c>
      <c r="C31" s="126">
        <f t="shared" si="0"/>
        <v>0</v>
      </c>
      <c r="D31" s="126">
        <f t="shared" si="1"/>
        <v>2.8467458626251729E-2</v>
      </c>
      <c r="E31" s="126">
        <f t="shared" si="2"/>
        <v>0</v>
      </c>
      <c r="F31" s="126">
        <f t="shared" si="3"/>
        <v>0</v>
      </c>
      <c r="G31" s="126"/>
      <c r="H31" s="27"/>
      <c r="I31" s="121"/>
      <c r="J31" s="121"/>
      <c r="K31" s="121"/>
      <c r="L31" s="121"/>
      <c r="M31" s="13"/>
      <c r="O31" s="11"/>
      <c r="P31" s="112"/>
      <c r="Q31" s="64"/>
      <c r="R31" s="133"/>
      <c r="S31" s="133"/>
      <c r="T31" s="133"/>
      <c r="U31" s="133"/>
      <c r="V31" s="133"/>
    </row>
    <row r="32" spans="1:35" ht="12.4" customHeight="1" x14ac:dyDescent="0.2">
      <c r="A32" s="121">
        <v>5.2622184753417969</v>
      </c>
      <c r="B32" s="143">
        <v>4.6304177726150329E-2</v>
      </c>
      <c r="C32" s="126">
        <f t="shared" si="0"/>
        <v>0</v>
      </c>
      <c r="D32" s="126">
        <f t="shared" si="1"/>
        <v>2.898288732852039E-2</v>
      </c>
      <c r="E32" s="126">
        <f t="shared" si="2"/>
        <v>0</v>
      </c>
      <c r="F32" s="126">
        <f t="shared" si="3"/>
        <v>0</v>
      </c>
      <c r="G32" s="126"/>
      <c r="I32" s="161" t="s">
        <v>36</v>
      </c>
      <c r="J32" s="162"/>
      <c r="K32" s="161" t="s">
        <v>64</v>
      </c>
      <c r="L32" s="162"/>
      <c r="M32" s="120"/>
      <c r="N32" s="13"/>
      <c r="O32" s="11"/>
      <c r="P32" s="112"/>
      <c r="Q32" s="64"/>
      <c r="R32" s="133"/>
      <c r="S32" s="133"/>
      <c r="T32" s="133"/>
      <c r="U32" s="133"/>
      <c r="V32" s="133"/>
    </row>
    <row r="33" spans="1:22" ht="12.4" customHeight="1" x14ac:dyDescent="0.2">
      <c r="A33" s="121">
        <v>5.763972282409668</v>
      </c>
      <c r="B33" s="143">
        <v>4.6747582136082419E-2</v>
      </c>
      <c r="C33" s="126">
        <f t="shared" si="0"/>
        <v>0</v>
      </c>
      <c r="D33" s="126">
        <f t="shared" si="1"/>
        <v>2.9260424706033804E-2</v>
      </c>
      <c r="E33" s="126">
        <f t="shared" si="2"/>
        <v>0</v>
      </c>
      <c r="F33" s="126">
        <f t="shared" si="3"/>
        <v>0</v>
      </c>
      <c r="G33" s="126"/>
      <c r="I33" s="163" t="s">
        <v>35</v>
      </c>
      <c r="J33" s="164"/>
      <c r="K33" s="163" t="s">
        <v>48</v>
      </c>
      <c r="L33" s="164"/>
      <c r="M33" s="133"/>
      <c r="N33" s="13"/>
      <c r="O33" s="11"/>
      <c r="P33" s="112"/>
      <c r="Q33" s="64"/>
      <c r="R33" s="133"/>
      <c r="S33" s="133"/>
      <c r="T33" s="133"/>
      <c r="U33" s="133"/>
      <c r="V33" s="133"/>
    </row>
    <row r="34" spans="1:22" ht="12.4" customHeight="1" x14ac:dyDescent="0.2">
      <c r="A34" s="121">
        <v>6.3053379058837891</v>
      </c>
      <c r="B34" s="143">
        <v>4.7317675661145878E-2</v>
      </c>
      <c r="C34" s="126">
        <f t="shared" si="0"/>
        <v>0</v>
      </c>
      <c r="D34" s="126">
        <f t="shared" si="1"/>
        <v>2.9617259817140893E-2</v>
      </c>
      <c r="E34" s="126">
        <f t="shared" si="2"/>
        <v>0</v>
      </c>
      <c r="F34" s="126">
        <f t="shared" si="3"/>
        <v>0</v>
      </c>
      <c r="G34" s="126"/>
      <c r="I34" s="165">
        <v>5.3039716386236252E-2</v>
      </c>
      <c r="J34" s="166"/>
      <c r="K34" s="165">
        <f>LOOKUP(I34,B$18:B$136,A$18:A$136)</f>
        <v>26.600929260253906</v>
      </c>
      <c r="L34" s="166"/>
      <c r="M34" s="1"/>
      <c r="N34" s="13"/>
      <c r="O34" s="11"/>
      <c r="P34" s="112"/>
      <c r="Q34" s="64"/>
      <c r="R34" s="133"/>
      <c r="S34" s="133"/>
      <c r="T34" s="133"/>
      <c r="U34" s="133"/>
      <c r="V34" s="133"/>
    </row>
    <row r="35" spans="1:22" ht="12.4" customHeight="1" x14ac:dyDescent="0.2">
      <c r="A35" s="121">
        <v>6.8938956260681152</v>
      </c>
      <c r="B35" s="143">
        <v>4.7697737012117825E-2</v>
      </c>
      <c r="C35" s="126">
        <f t="shared" si="0"/>
        <v>0</v>
      </c>
      <c r="D35" s="126">
        <f t="shared" si="1"/>
        <v>2.9855149265870361E-2</v>
      </c>
      <c r="E35" s="126">
        <f t="shared" si="2"/>
        <v>0</v>
      </c>
      <c r="F35" s="126">
        <f t="shared" si="3"/>
        <v>0</v>
      </c>
      <c r="G35" s="126"/>
      <c r="H35" s="27"/>
      <c r="I35" s="121"/>
      <c r="J35" s="121"/>
      <c r="K35" s="35"/>
      <c r="L35" s="35"/>
      <c r="M35" s="35"/>
      <c r="N35" s="13"/>
      <c r="O35" s="11"/>
      <c r="P35" s="112"/>
      <c r="Q35" s="64"/>
      <c r="R35" s="133"/>
      <c r="S35" s="133"/>
      <c r="T35" s="133"/>
      <c r="U35" s="133"/>
      <c r="V35" s="133"/>
    </row>
    <row r="36" spans="1:22" ht="12.4" customHeight="1" x14ac:dyDescent="0.2">
      <c r="A36" s="121">
        <v>7.542360782623291</v>
      </c>
      <c r="B36" s="143">
        <v>4.8141144419260991E-2</v>
      </c>
      <c r="C36" s="126">
        <f t="shared" si="0"/>
        <v>0</v>
      </c>
      <c r="D36" s="126">
        <f t="shared" si="1"/>
        <v>3.0132688519409551E-2</v>
      </c>
      <c r="E36" s="126">
        <f t="shared" si="2"/>
        <v>0</v>
      </c>
      <c r="F36" s="126">
        <f t="shared" si="3"/>
        <v>0</v>
      </c>
      <c r="G36" s="126"/>
      <c r="H36" s="27"/>
      <c r="I36" s="121"/>
      <c r="J36" s="121"/>
      <c r="K36" s="121"/>
      <c r="L36" s="121"/>
      <c r="M36" s="121"/>
      <c r="N36" s="13"/>
      <c r="O36" s="11"/>
      <c r="P36" s="112"/>
      <c r="Q36" s="64"/>
      <c r="R36" s="133"/>
      <c r="S36" s="133"/>
      <c r="T36" s="133"/>
      <c r="U36" s="133"/>
      <c r="V36" s="133"/>
    </row>
    <row r="37" spans="1:22" ht="12.4" customHeight="1" x14ac:dyDescent="0.2">
      <c r="A37" s="121">
        <v>8.2497549057006836</v>
      </c>
      <c r="B37" s="143">
        <v>4.8647888890942147E-2</v>
      </c>
      <c r="C37" s="126">
        <f t="shared" si="0"/>
        <v>0</v>
      </c>
      <c r="D37" s="126">
        <f t="shared" si="1"/>
        <v>3.0449871949681139E-2</v>
      </c>
      <c r="E37" s="126">
        <f t="shared" si="2"/>
        <v>0</v>
      </c>
      <c r="F37" s="126">
        <f t="shared" si="3"/>
        <v>0</v>
      </c>
      <c r="G37" s="126"/>
      <c r="H37" s="27"/>
      <c r="I37" s="121"/>
      <c r="J37" s="121"/>
      <c r="K37" s="121"/>
      <c r="L37" s="121"/>
      <c r="M37" s="121"/>
      <c r="N37" s="13"/>
      <c r="O37" s="11"/>
      <c r="P37" s="112"/>
      <c r="Q37" s="64"/>
      <c r="R37" s="133"/>
      <c r="S37" s="133"/>
      <c r="T37" s="133"/>
      <c r="U37" s="133"/>
      <c r="V37" s="133"/>
    </row>
    <row r="38" spans="1:22" ht="12.4" customHeight="1" x14ac:dyDescent="0.2">
      <c r="A38" s="121">
        <v>9.0262670516967773</v>
      </c>
      <c r="B38" s="143">
        <v>4.909129629808532E-2</v>
      </c>
      <c r="C38" s="126">
        <f t="shared" si="0"/>
        <v>0</v>
      </c>
      <c r="D38" s="126">
        <f t="shared" si="1"/>
        <v>3.0727411203220333E-2</v>
      </c>
      <c r="E38" s="126">
        <f t="shared" si="2"/>
        <v>0</v>
      </c>
      <c r="F38" s="126">
        <f t="shared" si="3"/>
        <v>0</v>
      </c>
      <c r="G38" s="126"/>
      <c r="N38" s="13"/>
      <c r="O38" s="11"/>
      <c r="P38" s="112"/>
      <c r="Q38" s="64"/>
      <c r="R38" s="133"/>
      <c r="S38" s="133"/>
      <c r="T38" s="133"/>
      <c r="U38" s="133"/>
      <c r="V38" s="133"/>
    </row>
    <row r="39" spans="1:22" ht="12.4" customHeight="1" x14ac:dyDescent="0.2">
      <c r="A39" s="121">
        <v>9.8776836395263672</v>
      </c>
      <c r="B39" s="143">
        <v>4.9471357649057267E-2</v>
      </c>
      <c r="C39" s="126">
        <f t="shared" si="0"/>
        <v>0</v>
      </c>
      <c r="D39" s="126">
        <f t="shared" si="1"/>
        <v>3.0965300651949801E-2</v>
      </c>
      <c r="E39" s="126">
        <f t="shared" si="2"/>
        <v>0</v>
      </c>
      <c r="F39" s="126">
        <f t="shared" si="3"/>
        <v>0</v>
      </c>
      <c r="G39" s="126"/>
      <c r="N39" s="13"/>
      <c r="O39" s="11"/>
      <c r="P39" s="112"/>
      <c r="Q39" s="64"/>
      <c r="R39" s="133"/>
      <c r="S39" s="133"/>
      <c r="T39" s="133"/>
      <c r="U39" s="133"/>
      <c r="V39" s="133"/>
    </row>
    <row r="40" spans="1:22" ht="12.4" customHeight="1" x14ac:dyDescent="0.2">
      <c r="A40" s="121">
        <v>10.782322883605957</v>
      </c>
      <c r="B40" s="143">
        <v>4.9661389823148779E-2</v>
      </c>
      <c r="C40" s="126">
        <f t="shared" si="0"/>
        <v>0</v>
      </c>
      <c r="D40" s="126">
        <f t="shared" si="1"/>
        <v>3.1084246314327421E-2</v>
      </c>
      <c r="E40" s="126">
        <f t="shared" si="2"/>
        <v>0</v>
      </c>
      <c r="F40" s="126">
        <f t="shared" si="3"/>
        <v>0</v>
      </c>
      <c r="G40" s="126"/>
      <c r="N40" s="13"/>
      <c r="O40" s="11"/>
      <c r="P40" s="112"/>
      <c r="Q40" s="64"/>
      <c r="R40" s="133"/>
      <c r="S40" s="133"/>
      <c r="T40" s="133"/>
      <c r="U40" s="133"/>
      <c r="V40" s="133"/>
    </row>
    <row r="41" spans="1:22" ht="12.4" customHeight="1" x14ac:dyDescent="0.2">
      <c r="A41" s="121">
        <v>11.883312225341797</v>
      </c>
      <c r="B41" s="143">
        <v>5.0104791235869792E-2</v>
      </c>
      <c r="C41" s="126">
        <f t="shared" si="0"/>
        <v>0</v>
      </c>
      <c r="D41" s="126">
        <f t="shared" si="1"/>
        <v>3.136178181581506E-2</v>
      </c>
      <c r="E41" s="126">
        <f t="shared" si="2"/>
        <v>0</v>
      </c>
      <c r="F41" s="126">
        <f t="shared" si="3"/>
        <v>0</v>
      </c>
      <c r="G41" s="126"/>
      <c r="N41" s="13"/>
      <c r="O41" s="11"/>
      <c r="P41" s="112"/>
      <c r="Q41" s="64"/>
      <c r="R41" s="133"/>
      <c r="S41" s="133"/>
      <c r="T41" s="133"/>
      <c r="U41" s="133"/>
      <c r="V41" s="133"/>
    </row>
    <row r="42" spans="1:22" ht="12.4" customHeight="1" x14ac:dyDescent="0.2">
      <c r="A42" s="121">
        <v>12.884048461914062</v>
      </c>
      <c r="B42" s="143">
        <v>5.0421512525092672E-2</v>
      </c>
      <c r="C42" s="126">
        <f t="shared" si="0"/>
        <v>0</v>
      </c>
      <c r="D42" s="126">
        <f t="shared" si="1"/>
        <v>3.1560025211786358E-2</v>
      </c>
      <c r="E42" s="126">
        <f t="shared" si="2"/>
        <v>0</v>
      </c>
      <c r="F42" s="126">
        <f t="shared" si="3"/>
        <v>0</v>
      </c>
      <c r="G42" s="126"/>
      <c r="H42" s="27"/>
      <c r="I42" s="121"/>
      <c r="J42" s="121"/>
      <c r="K42" s="121"/>
      <c r="L42" s="121"/>
      <c r="M42" s="121"/>
      <c r="N42" s="13"/>
      <c r="O42" s="11"/>
      <c r="P42" s="112"/>
      <c r="Q42" s="64"/>
      <c r="R42" s="133"/>
      <c r="S42" s="133"/>
      <c r="T42" s="133"/>
      <c r="U42" s="133"/>
      <c r="V42" s="133"/>
    </row>
    <row r="43" spans="1:22" ht="12.4" customHeight="1" x14ac:dyDescent="0.2">
      <c r="A43" s="121">
        <v>14.184564590454102</v>
      </c>
      <c r="B43" s="143">
        <v>5.0738233814315546E-2</v>
      </c>
      <c r="C43" s="126">
        <f t="shared" si="0"/>
        <v>0</v>
      </c>
      <c r="D43" s="126">
        <f t="shared" si="1"/>
        <v>3.1758268607757649E-2</v>
      </c>
      <c r="E43" s="126">
        <f t="shared" si="2"/>
        <v>0</v>
      </c>
      <c r="F43" s="126">
        <f t="shared" si="3"/>
        <v>0</v>
      </c>
      <c r="G43" s="126"/>
      <c r="H43" s="27"/>
      <c r="I43" s="121"/>
      <c r="J43" s="121"/>
      <c r="K43" s="121"/>
      <c r="L43" s="121"/>
      <c r="M43" s="99"/>
      <c r="N43" s="13"/>
      <c r="O43" s="11"/>
      <c r="P43" s="112"/>
      <c r="Q43" s="64"/>
      <c r="R43" s="133"/>
      <c r="S43" s="133"/>
      <c r="T43" s="133"/>
      <c r="U43" s="133"/>
      <c r="V43" s="133"/>
    </row>
    <row r="44" spans="1:22" ht="12.4" customHeight="1" x14ac:dyDescent="0.2">
      <c r="A44" s="121">
        <v>15.478479385375977</v>
      </c>
      <c r="B44" s="143">
        <v>5.0928256996773821E-2</v>
      </c>
      <c r="C44" s="126">
        <f t="shared" si="0"/>
        <v>0</v>
      </c>
      <c r="D44" s="126">
        <f t="shared" si="1"/>
        <v>3.1877208642057939E-2</v>
      </c>
      <c r="E44" s="126">
        <f t="shared" si="2"/>
        <v>0</v>
      </c>
      <c r="F44" s="126">
        <f t="shared" si="3"/>
        <v>0</v>
      </c>
      <c r="G44" s="126"/>
      <c r="H44" s="27"/>
      <c r="I44" s="121"/>
      <c r="J44" s="121"/>
      <c r="K44" s="121"/>
      <c r="L44" s="121"/>
      <c r="M44" s="99"/>
      <c r="N44" s="13"/>
      <c r="O44" s="11"/>
      <c r="P44" s="112"/>
      <c r="Q44" s="64"/>
      <c r="R44" s="133"/>
      <c r="S44" s="133"/>
      <c r="T44" s="133"/>
      <c r="U44" s="133"/>
      <c r="V44" s="133"/>
    </row>
    <row r="45" spans="1:22" ht="12.4" customHeight="1" x14ac:dyDescent="0.2">
      <c r="A45" s="121">
        <v>16.87272834777832</v>
      </c>
      <c r="B45" s="143">
        <v>5.1244978285996695E-2</v>
      </c>
      <c r="C45" s="126">
        <f t="shared" si="0"/>
        <v>0</v>
      </c>
      <c r="D45" s="126">
        <f t="shared" si="1"/>
        <v>3.207545203802923E-2</v>
      </c>
      <c r="E45" s="126">
        <f t="shared" si="2"/>
        <v>0</v>
      </c>
      <c r="F45" s="126">
        <f t="shared" si="3"/>
        <v>0</v>
      </c>
      <c r="G45" s="126"/>
      <c r="H45" s="27"/>
      <c r="I45" s="121"/>
      <c r="J45" s="121"/>
      <c r="K45" s="121"/>
      <c r="L45" s="121"/>
      <c r="M45" s="99"/>
      <c r="N45" s="13"/>
      <c r="O45" s="11"/>
      <c r="P45" s="112"/>
      <c r="Q45" s="64"/>
      <c r="R45" s="133"/>
      <c r="S45" s="133"/>
      <c r="T45" s="133"/>
      <c r="U45" s="133"/>
      <c r="V45" s="133"/>
    </row>
    <row r="46" spans="1:22" ht="12.4" customHeight="1" x14ac:dyDescent="0.2">
      <c r="A46" s="121">
        <v>18.472209930419922</v>
      </c>
      <c r="B46" s="143">
        <v>5.1625042634179726E-2</v>
      </c>
      <c r="C46" s="126">
        <f t="shared" si="0"/>
        <v>0</v>
      </c>
      <c r="D46" s="126">
        <f t="shared" si="1"/>
        <v>3.2313343362784477E-2</v>
      </c>
      <c r="E46" s="126">
        <f t="shared" si="2"/>
        <v>0</v>
      </c>
      <c r="F46" s="126">
        <f t="shared" si="3"/>
        <v>0</v>
      </c>
      <c r="G46" s="126"/>
      <c r="H46" s="27"/>
      <c r="I46" s="121"/>
      <c r="J46" s="121"/>
      <c r="K46" s="121"/>
      <c r="L46" s="121"/>
      <c r="M46" s="99"/>
      <c r="N46" s="13"/>
      <c r="O46" s="11"/>
      <c r="P46" s="112"/>
      <c r="Q46" s="64"/>
      <c r="R46" s="133"/>
      <c r="S46" s="133"/>
      <c r="T46" s="133"/>
      <c r="U46" s="133"/>
      <c r="V46" s="133"/>
    </row>
    <row r="47" spans="1:22" ht="12.4" customHeight="1" x14ac:dyDescent="0.2">
      <c r="A47" s="121">
        <v>20.266654968261719</v>
      </c>
      <c r="B47" s="143">
        <v>5.2005100987940596E-2</v>
      </c>
      <c r="C47" s="126">
        <f t="shared" si="0"/>
        <v>0</v>
      </c>
      <c r="D47" s="126">
        <f t="shared" si="1"/>
        <v>3.2551230935488167E-2</v>
      </c>
      <c r="E47" s="126">
        <f t="shared" si="2"/>
        <v>0</v>
      </c>
      <c r="F47" s="126">
        <f t="shared" si="3"/>
        <v>0</v>
      </c>
      <c r="G47" s="126"/>
      <c r="H47" s="27"/>
      <c r="I47" s="121"/>
      <c r="J47" s="121"/>
      <c r="K47" s="121"/>
      <c r="L47" s="121"/>
      <c r="M47" s="99"/>
      <c r="N47" s="13"/>
      <c r="O47" s="11"/>
      <c r="P47" s="112"/>
      <c r="Q47" s="64"/>
      <c r="R47" s="133"/>
      <c r="S47" s="133"/>
      <c r="T47" s="133"/>
      <c r="U47" s="133"/>
      <c r="V47" s="133"/>
    </row>
    <row r="48" spans="1:22" ht="12.4" customHeight="1" x14ac:dyDescent="0.2">
      <c r="A48" s="121">
        <v>22.155405044555664</v>
      </c>
      <c r="B48" s="143">
        <v>5.2321822277163477E-2</v>
      </c>
      <c r="C48" s="126">
        <f t="shared" si="0"/>
        <v>0</v>
      </c>
      <c r="D48" s="126">
        <f t="shared" si="1"/>
        <v>3.2749474331459465E-2</v>
      </c>
      <c r="E48" s="126">
        <f t="shared" si="2"/>
        <v>0</v>
      </c>
      <c r="F48" s="126">
        <f t="shared" si="3"/>
        <v>0</v>
      </c>
      <c r="G48" s="126"/>
      <c r="H48" s="27"/>
      <c r="I48" s="121"/>
      <c r="J48" s="121"/>
      <c r="K48" s="121"/>
      <c r="L48" s="121"/>
      <c r="M48" s="99"/>
      <c r="N48" s="13"/>
      <c r="O48" s="11"/>
      <c r="P48" s="112"/>
      <c r="Q48" s="64"/>
      <c r="R48" s="133"/>
      <c r="S48" s="133"/>
      <c r="T48" s="133"/>
      <c r="U48" s="133"/>
      <c r="V48" s="133"/>
    </row>
    <row r="49" spans="1:22" ht="12.4" customHeight="1" x14ac:dyDescent="0.2">
      <c r="A49" s="121">
        <v>24.306196212768555</v>
      </c>
      <c r="B49" s="143">
        <v>5.2638537571964204E-2</v>
      </c>
      <c r="C49" s="126">
        <f t="shared" si="0"/>
        <v>0</v>
      </c>
      <c r="D49" s="126">
        <f t="shared" si="1"/>
        <v>3.2947713975379211E-2</v>
      </c>
      <c r="E49" s="126">
        <f t="shared" si="2"/>
        <v>0</v>
      </c>
      <c r="F49" s="126">
        <f t="shared" si="3"/>
        <v>0</v>
      </c>
      <c r="G49" s="126"/>
      <c r="H49" s="27"/>
      <c r="I49" s="121"/>
      <c r="J49" s="121"/>
      <c r="K49" s="121"/>
      <c r="L49" s="99"/>
      <c r="M49" s="99"/>
      <c r="N49" s="13"/>
      <c r="O49" s="11"/>
      <c r="P49" s="112"/>
      <c r="Q49" s="64"/>
      <c r="R49" s="133"/>
      <c r="S49" s="133"/>
      <c r="T49" s="133"/>
      <c r="U49" s="133"/>
      <c r="V49" s="133"/>
    </row>
    <row r="50" spans="1:22" ht="12.4" customHeight="1" x14ac:dyDescent="0.2">
      <c r="A50" s="121">
        <v>26.600929260253906</v>
      </c>
      <c r="B50" s="143">
        <v>5.2738537571964207E-2</v>
      </c>
      <c r="C50" s="126">
        <f t="shared" si="0"/>
        <v>0</v>
      </c>
      <c r="D50" s="126">
        <f t="shared" si="1"/>
        <v>3.301030635635168E-2</v>
      </c>
      <c r="E50" s="126">
        <f t="shared" si="2"/>
        <v>0</v>
      </c>
      <c r="F50" s="126">
        <f t="shared" si="3"/>
        <v>0</v>
      </c>
      <c r="G50" s="126"/>
      <c r="H50" s="27"/>
      <c r="I50" s="121"/>
      <c r="J50" s="121"/>
      <c r="K50" s="121"/>
      <c r="L50" s="99"/>
      <c r="M50" s="99"/>
      <c r="N50" s="13"/>
      <c r="O50" s="11"/>
      <c r="P50" s="112"/>
      <c r="Q50" s="64"/>
      <c r="R50" s="133"/>
      <c r="S50" s="133"/>
      <c r="T50" s="133"/>
      <c r="U50" s="133"/>
      <c r="V50" s="133"/>
    </row>
    <row r="51" spans="1:22" ht="12.4" customHeight="1" x14ac:dyDescent="0.2">
      <c r="A51" s="121">
        <v>28.999906539916992</v>
      </c>
      <c r="B51" s="143">
        <v>5.3338537571964204E-2</v>
      </c>
      <c r="C51" s="126">
        <f t="shared" si="0"/>
        <v>2.9882118572795158E-4</v>
      </c>
      <c r="D51" s="126">
        <f t="shared" si="1"/>
        <v>3.3385860642186481E-2</v>
      </c>
      <c r="E51" s="126">
        <f t="shared" si="2"/>
        <v>1.9346200555724771E-4</v>
      </c>
      <c r="F51" s="126">
        <f t="shared" si="3"/>
        <v>1.9346200555724771E-4</v>
      </c>
      <c r="G51" s="126"/>
      <c r="H51" s="27"/>
      <c r="I51" s="121"/>
      <c r="J51" s="121"/>
      <c r="K51" s="121"/>
      <c r="L51" s="99"/>
      <c r="M51" s="99"/>
      <c r="N51" s="13"/>
      <c r="O51" s="11"/>
      <c r="P51" s="112"/>
      <c r="Q51" s="64"/>
      <c r="R51" s="133"/>
      <c r="S51" s="133"/>
      <c r="T51" s="133"/>
      <c r="U51" s="133"/>
      <c r="V51" s="133"/>
    </row>
    <row r="52" spans="1:22" ht="12.4" customHeight="1" x14ac:dyDescent="0.2">
      <c r="A52" s="121">
        <v>31.355197906494141</v>
      </c>
      <c r="B52" s="143">
        <v>5.3338537571964204E-2</v>
      </c>
      <c r="C52" s="126">
        <f t="shared" si="0"/>
        <v>2.9882118572795158E-4</v>
      </c>
      <c r="D52" s="126">
        <f t="shared" si="1"/>
        <v>3.3385860642186481E-2</v>
      </c>
      <c r="E52" s="126">
        <f t="shared" si="2"/>
        <v>1.9346200555724771E-4</v>
      </c>
      <c r="F52" s="126">
        <f t="shared" si="3"/>
        <v>0</v>
      </c>
      <c r="G52" s="126"/>
      <c r="H52" s="27"/>
      <c r="I52" s="121"/>
      <c r="J52" s="121"/>
      <c r="K52" s="121"/>
      <c r="L52" s="99"/>
      <c r="M52" s="99"/>
      <c r="N52" s="13"/>
      <c r="O52" s="11"/>
      <c r="P52" s="112"/>
      <c r="Q52" s="64"/>
      <c r="R52" s="133"/>
      <c r="S52" s="133"/>
      <c r="T52" s="133"/>
      <c r="U52" s="133"/>
      <c r="V52" s="133"/>
    </row>
    <row r="53" spans="1:22" ht="12.4" customHeight="1" x14ac:dyDescent="0.2">
      <c r="A53" s="121">
        <v>33.925983428955078</v>
      </c>
      <c r="B53" s="143">
        <v>5.3338537571964204E-2</v>
      </c>
      <c r="C53" s="126">
        <f t="shared" si="0"/>
        <v>2.9882118572795158E-4</v>
      </c>
      <c r="D53" s="126">
        <f t="shared" si="1"/>
        <v>3.3385860642186481E-2</v>
      </c>
      <c r="E53" s="126">
        <f t="shared" si="2"/>
        <v>1.9346200555724771E-4</v>
      </c>
      <c r="F53" s="126">
        <f t="shared" si="3"/>
        <v>0</v>
      </c>
      <c r="G53" s="126"/>
      <c r="H53" s="27"/>
      <c r="I53" s="121"/>
      <c r="J53" s="121"/>
      <c r="K53" s="121"/>
      <c r="L53" s="99"/>
      <c r="M53" s="99"/>
      <c r="N53" s="13"/>
      <c r="O53" s="11"/>
      <c r="P53" s="112"/>
      <c r="Q53" s="64"/>
      <c r="R53" s="133"/>
      <c r="S53" s="133"/>
      <c r="T53" s="133"/>
      <c r="U53" s="133"/>
      <c r="V53" s="133"/>
    </row>
    <row r="54" spans="1:22" ht="12.4" customHeight="1" x14ac:dyDescent="0.2">
      <c r="A54" s="121">
        <v>37.120223999023438</v>
      </c>
      <c r="B54" s="143">
        <v>5.3338537571964204E-2</v>
      </c>
      <c r="C54" s="126">
        <f t="shared" si="0"/>
        <v>2.9882118572795158E-4</v>
      </c>
      <c r="D54" s="126">
        <f t="shared" si="1"/>
        <v>3.3385860642186481E-2</v>
      </c>
      <c r="E54" s="126">
        <f t="shared" si="2"/>
        <v>1.9346200555724771E-4</v>
      </c>
      <c r="F54" s="126">
        <f t="shared" si="3"/>
        <v>0</v>
      </c>
      <c r="G54" s="126"/>
      <c r="H54" s="27"/>
      <c r="I54" s="121"/>
      <c r="J54" s="121"/>
      <c r="K54" s="121"/>
      <c r="L54" s="99"/>
      <c r="M54" s="99"/>
      <c r="N54" s="13"/>
      <c r="O54" s="11"/>
      <c r="P54" s="112"/>
      <c r="Q54" s="64"/>
      <c r="R54" s="133"/>
      <c r="S54" s="133"/>
      <c r="T54" s="133"/>
      <c r="U54" s="133"/>
      <c r="V54" s="133"/>
    </row>
    <row r="55" spans="1:22" ht="12.4" customHeight="1" x14ac:dyDescent="0.2">
      <c r="A55" s="121">
        <v>41.669708251953125</v>
      </c>
      <c r="B55" s="143">
        <v>5.3338537571964204E-2</v>
      </c>
      <c r="C55" s="126">
        <f t="shared" si="0"/>
        <v>2.9882118572795158E-4</v>
      </c>
      <c r="D55" s="126">
        <f t="shared" si="1"/>
        <v>3.3385860642186481E-2</v>
      </c>
      <c r="E55" s="126">
        <f t="shared" si="2"/>
        <v>1.9346200555724771E-4</v>
      </c>
      <c r="F55" s="126">
        <f t="shared" si="3"/>
        <v>0</v>
      </c>
      <c r="G55" s="126"/>
      <c r="H55" s="27"/>
      <c r="I55" s="121"/>
      <c r="J55" s="121"/>
      <c r="K55" s="121"/>
      <c r="L55" s="99"/>
      <c r="M55" s="99"/>
      <c r="N55" s="13"/>
      <c r="O55" s="11"/>
      <c r="P55" s="112"/>
      <c r="Q55" s="64"/>
      <c r="R55" s="133"/>
      <c r="S55" s="133"/>
      <c r="T55" s="133"/>
      <c r="U55" s="133"/>
      <c r="V55" s="133"/>
    </row>
    <row r="56" spans="1:22" ht="12.4" customHeight="1" x14ac:dyDescent="0.2">
      <c r="A56" s="121">
        <v>44.641792297363281</v>
      </c>
      <c r="B56" s="143">
        <v>5.3338537571964204E-2</v>
      </c>
      <c r="C56" s="126">
        <f t="shared" si="0"/>
        <v>2.9882118572795158E-4</v>
      </c>
      <c r="D56" s="126">
        <f t="shared" si="1"/>
        <v>3.3385860642186481E-2</v>
      </c>
      <c r="E56" s="126">
        <f t="shared" si="2"/>
        <v>1.9346200555724771E-4</v>
      </c>
      <c r="F56" s="126">
        <f t="shared" si="3"/>
        <v>0</v>
      </c>
      <c r="G56" s="126"/>
      <c r="H56" s="27"/>
      <c r="I56" s="121"/>
      <c r="J56" s="121"/>
      <c r="K56" s="121"/>
      <c r="L56" s="99"/>
      <c r="M56" s="99"/>
      <c r="N56" s="13"/>
      <c r="O56" s="11"/>
      <c r="P56" s="112"/>
      <c r="Q56" s="64"/>
      <c r="R56" s="133"/>
      <c r="S56" s="133"/>
      <c r="T56" s="133"/>
      <c r="U56" s="133"/>
      <c r="V56" s="133"/>
    </row>
    <row r="57" spans="1:22" ht="12.4" customHeight="1" x14ac:dyDescent="0.2">
      <c r="A57" s="121">
        <v>49.825927734375</v>
      </c>
      <c r="B57" s="143">
        <v>5.3538537571964202E-2</v>
      </c>
      <c r="C57" s="126">
        <f t="shared" si="0"/>
        <v>4.9882118572795037E-4</v>
      </c>
      <c r="D57" s="126">
        <f t="shared" si="1"/>
        <v>3.3511045404131412E-2</v>
      </c>
      <c r="E57" s="126">
        <f t="shared" si="2"/>
        <v>3.2294546576503591E-4</v>
      </c>
      <c r="F57" s="126">
        <f t="shared" si="3"/>
        <v>1.294834602077882E-4</v>
      </c>
      <c r="G57" s="126"/>
      <c r="H57" s="27"/>
      <c r="I57" s="99"/>
      <c r="J57" s="121"/>
      <c r="K57" s="121"/>
      <c r="L57" s="99"/>
      <c r="M57" s="99"/>
      <c r="N57" s="13"/>
      <c r="O57" s="11"/>
      <c r="P57" s="112"/>
      <c r="Q57" s="64"/>
      <c r="R57" s="133"/>
      <c r="S57" s="133"/>
      <c r="T57" s="133"/>
      <c r="U57" s="133"/>
      <c r="V57" s="133"/>
    </row>
    <row r="58" spans="1:22" ht="12.4" customHeight="1" x14ac:dyDescent="0.2">
      <c r="A58" s="121">
        <v>54.188117980957031</v>
      </c>
      <c r="B58" s="143">
        <v>5.4038537571964203E-2</v>
      </c>
      <c r="C58" s="126">
        <f t="shared" si="0"/>
        <v>9.9882118572795081E-4</v>
      </c>
      <c r="D58" s="126">
        <f t="shared" si="1"/>
        <v>3.382400730899375E-2</v>
      </c>
      <c r="E58" s="126">
        <f t="shared" si="2"/>
        <v>6.4665411628450869E-4</v>
      </c>
      <c r="F58" s="126">
        <f t="shared" si="3"/>
        <v>3.2370865051947279E-4</v>
      </c>
      <c r="G58" s="126"/>
      <c r="H58" s="27"/>
      <c r="I58" s="99"/>
      <c r="J58" s="121"/>
      <c r="K58" s="121"/>
      <c r="L58" s="99"/>
      <c r="M58" s="99"/>
      <c r="N58" s="13"/>
      <c r="O58" s="11"/>
      <c r="P58" s="112"/>
      <c r="Q58" s="64"/>
      <c r="R58" s="133"/>
      <c r="S58" s="133"/>
      <c r="T58" s="133"/>
      <c r="U58" s="133"/>
      <c r="V58" s="133"/>
    </row>
    <row r="59" spans="1:22" ht="12.4" customHeight="1" x14ac:dyDescent="0.2">
      <c r="A59" s="121">
        <v>59.015975952148438</v>
      </c>
      <c r="B59" s="143">
        <v>5.4538537571964203E-2</v>
      </c>
      <c r="C59" s="126">
        <f t="shared" si="0"/>
        <v>1.4988211857279513E-3</v>
      </c>
      <c r="D59" s="126">
        <f t="shared" si="1"/>
        <v>3.4136969213856089E-2</v>
      </c>
      <c r="E59" s="126">
        <f t="shared" si="2"/>
        <v>9.7036276680398143E-4</v>
      </c>
      <c r="F59" s="126">
        <f t="shared" si="3"/>
        <v>3.2370865051947273E-4</v>
      </c>
      <c r="G59" s="126"/>
      <c r="H59" s="27"/>
      <c r="I59" s="99"/>
      <c r="J59" s="121"/>
      <c r="K59" s="121"/>
      <c r="L59" s="99"/>
      <c r="M59" s="99"/>
      <c r="N59" s="13"/>
      <c r="O59" s="11"/>
      <c r="P59" s="112"/>
      <c r="Q59" s="64"/>
      <c r="R59" s="133"/>
      <c r="S59" s="133"/>
      <c r="T59" s="133"/>
      <c r="U59" s="133"/>
      <c r="V59" s="133"/>
    </row>
    <row r="60" spans="1:22" ht="12.4" customHeight="1" x14ac:dyDescent="0.2">
      <c r="A60" s="121">
        <v>64.038360595703125</v>
      </c>
      <c r="B60" s="143">
        <v>5.5638537571964207E-2</v>
      </c>
      <c r="C60" s="126">
        <f t="shared" si="0"/>
        <v>2.598821185727955E-3</v>
      </c>
      <c r="D60" s="126">
        <f t="shared" si="1"/>
        <v>3.4825485404553234E-2</v>
      </c>
      <c r="E60" s="126">
        <f t="shared" si="2"/>
        <v>1.6825217979468234E-3</v>
      </c>
      <c r="F60" s="126">
        <f t="shared" si="3"/>
        <v>7.1215903114284196E-4</v>
      </c>
      <c r="G60" s="126"/>
      <c r="H60" s="27"/>
      <c r="I60" s="99"/>
      <c r="J60" s="121"/>
      <c r="K60" s="121"/>
      <c r="L60" s="99"/>
      <c r="M60" s="99"/>
      <c r="N60" s="13"/>
      <c r="O60" s="11"/>
      <c r="P60" s="112"/>
      <c r="Q60" s="64"/>
      <c r="R60" s="133"/>
      <c r="S60" s="133"/>
      <c r="T60" s="133"/>
      <c r="U60" s="133"/>
      <c r="V60" s="133"/>
    </row>
    <row r="61" spans="1:22" ht="12.4" customHeight="1" x14ac:dyDescent="0.2">
      <c r="A61" s="121">
        <v>70.489471435546875</v>
      </c>
      <c r="B61" s="143">
        <v>5.7538537571964206E-2</v>
      </c>
      <c r="C61" s="126">
        <f t="shared" si="0"/>
        <v>4.4988211857279539E-3</v>
      </c>
      <c r="D61" s="126">
        <f t="shared" si="1"/>
        <v>3.6014740643030112E-2</v>
      </c>
      <c r="E61" s="126">
        <f t="shared" si="2"/>
        <v>2.912614669920818E-3</v>
      </c>
      <c r="F61" s="126">
        <f t="shared" si="3"/>
        <v>1.2300928719739946E-3</v>
      </c>
      <c r="G61" s="126"/>
      <c r="H61" s="27"/>
      <c r="I61" s="99"/>
      <c r="J61" s="121"/>
      <c r="K61" s="121"/>
      <c r="L61" s="99"/>
      <c r="M61" s="99"/>
      <c r="N61" s="13"/>
      <c r="O61" s="11"/>
      <c r="P61" s="112"/>
      <c r="Q61" s="64"/>
      <c r="R61" s="133"/>
      <c r="S61" s="133"/>
      <c r="T61" s="133"/>
      <c r="U61" s="133"/>
      <c r="V61" s="133"/>
    </row>
    <row r="62" spans="1:22" ht="12.4" customHeight="1" x14ac:dyDescent="0.2">
      <c r="A62" s="121">
        <v>76.763862609863281</v>
      </c>
      <c r="B62" s="143">
        <v>6.0438537571964206E-2</v>
      </c>
      <c r="C62" s="126">
        <f t="shared" si="0"/>
        <v>7.3988211857279537E-3</v>
      </c>
      <c r="D62" s="126">
        <f t="shared" si="1"/>
        <v>3.7829919691231666E-2</v>
      </c>
      <c r="E62" s="126">
        <f t="shared" si="2"/>
        <v>4.7901248429337582E-3</v>
      </c>
      <c r="F62" s="126">
        <f t="shared" si="3"/>
        <v>1.8775101730129401E-3</v>
      </c>
      <c r="G62" s="126"/>
      <c r="H62" s="27"/>
      <c r="I62" s="99"/>
      <c r="J62" s="121"/>
      <c r="K62" s="121"/>
      <c r="L62" s="99"/>
      <c r="M62" s="99"/>
      <c r="N62" s="13"/>
      <c r="O62" s="11"/>
      <c r="P62" s="112"/>
      <c r="Q62" s="64"/>
      <c r="R62" s="133"/>
      <c r="S62" s="133"/>
      <c r="T62" s="133"/>
      <c r="U62" s="133"/>
      <c r="V62" s="133"/>
    </row>
    <row r="63" spans="1:22" ht="12.4" customHeight="1" x14ac:dyDescent="0.2">
      <c r="A63" s="121">
        <v>84.832046508789063</v>
      </c>
      <c r="B63" s="143">
        <v>6.5638537571964209E-2</v>
      </c>
      <c r="C63" s="126">
        <f t="shared" si="0"/>
        <v>1.2598821185727957E-2</v>
      </c>
      <c r="D63" s="126">
        <f t="shared" si="1"/>
        <v>4.1084723501799966E-2</v>
      </c>
      <c r="E63" s="126">
        <f t="shared" si="2"/>
        <v>8.1566948083362737E-3</v>
      </c>
      <c r="F63" s="126">
        <f t="shared" si="3"/>
        <v>3.3665699654025156E-3</v>
      </c>
      <c r="G63" s="126"/>
      <c r="H63" s="27"/>
      <c r="I63" s="99"/>
      <c r="J63" s="121"/>
      <c r="K63" s="121"/>
      <c r="L63" s="99"/>
      <c r="M63" s="99"/>
      <c r="N63" s="13"/>
      <c r="O63" s="11"/>
      <c r="P63" s="112"/>
      <c r="Q63" s="64"/>
      <c r="R63" s="133"/>
      <c r="S63" s="133"/>
      <c r="T63" s="133"/>
      <c r="U63" s="133"/>
      <c r="V63" s="133"/>
    </row>
    <row r="64" spans="1:22" x14ac:dyDescent="0.2">
      <c r="A64" s="121">
        <v>91.871368408203125</v>
      </c>
      <c r="B64" s="143">
        <v>7.4338537571964208E-2</v>
      </c>
      <c r="C64" s="126">
        <f t="shared" si="0"/>
        <v>2.1298821185727956E-2</v>
      </c>
      <c r="D64" s="126">
        <f t="shared" si="1"/>
        <v>4.6530260646404628E-2</v>
      </c>
      <c r="E64" s="126">
        <f t="shared" si="2"/>
        <v>1.3789225327375094E-2</v>
      </c>
      <c r="F64" s="126">
        <f t="shared" si="3"/>
        <v>5.6325305190388208E-3</v>
      </c>
      <c r="G64" s="126"/>
      <c r="H64" s="27"/>
      <c r="I64" s="99"/>
      <c r="J64" s="121"/>
      <c r="K64" s="121"/>
      <c r="L64" s="99"/>
      <c r="M64" s="99"/>
      <c r="N64" s="13"/>
      <c r="O64" s="11"/>
      <c r="P64" s="112"/>
      <c r="Q64" s="64"/>
      <c r="R64" s="133"/>
      <c r="S64" s="133"/>
      <c r="T64" s="133"/>
      <c r="U64" s="133"/>
      <c r="V64" s="133"/>
    </row>
    <row r="65" spans="1:22" x14ac:dyDescent="0.2">
      <c r="A65" s="121">
        <v>102.19837188720703</v>
      </c>
      <c r="B65" s="143">
        <v>9.2938537571964214E-2</v>
      </c>
      <c r="C65" s="126">
        <f t="shared" si="0"/>
        <v>3.9898821185727962E-2</v>
      </c>
      <c r="D65" s="126">
        <f t="shared" si="1"/>
        <v>5.817244350728356E-2</v>
      </c>
      <c r="E65" s="126">
        <f t="shared" si="2"/>
        <v>2.5831187126699476E-2</v>
      </c>
      <c r="F65" s="126">
        <f t="shared" si="3"/>
        <v>1.2041961799324381E-2</v>
      </c>
      <c r="G65" s="126"/>
      <c r="H65" s="27"/>
      <c r="I65" s="99"/>
      <c r="J65" s="121"/>
      <c r="K65" s="121"/>
      <c r="L65" s="99"/>
      <c r="M65" s="99"/>
      <c r="N65" s="13"/>
      <c r="O65" s="11"/>
      <c r="P65" s="112"/>
      <c r="Q65" s="64"/>
      <c r="R65" s="133"/>
      <c r="S65" s="133"/>
      <c r="T65" s="133"/>
      <c r="U65" s="133"/>
      <c r="V65" s="133"/>
    </row>
    <row r="66" spans="1:22" x14ac:dyDescent="0.2">
      <c r="A66" s="121">
        <v>111.03816986083984</v>
      </c>
      <c r="B66" s="143">
        <v>0.13353853757196421</v>
      </c>
      <c r="C66" s="126">
        <f t="shared" si="0"/>
        <v>8.0498821185727959E-2</v>
      </c>
      <c r="D66" s="126">
        <f t="shared" si="1"/>
        <v>8.3584950182105308E-2</v>
      </c>
      <c r="E66" s="126">
        <f t="shared" si="2"/>
        <v>5.2116329548880638E-2</v>
      </c>
      <c r="F66" s="126">
        <f t="shared" si="3"/>
        <v>2.6285142422181162E-2</v>
      </c>
      <c r="G66" s="126"/>
      <c r="H66" s="27"/>
      <c r="I66" s="99"/>
      <c r="J66" s="121"/>
      <c r="K66" s="121"/>
      <c r="L66" s="99"/>
      <c r="M66" s="99"/>
      <c r="N66" s="13"/>
      <c r="O66" s="11"/>
      <c r="P66" s="112"/>
      <c r="Q66" s="64"/>
      <c r="R66" s="133"/>
      <c r="S66" s="133"/>
      <c r="T66" s="133"/>
      <c r="U66" s="133"/>
      <c r="V66" s="133"/>
    </row>
    <row r="67" spans="1:22" x14ac:dyDescent="0.2">
      <c r="A67" s="121">
        <v>120.67512512207031</v>
      </c>
      <c r="B67" s="143">
        <v>0.20023853757196422</v>
      </c>
      <c r="C67" s="126">
        <f t="shared" si="0"/>
        <v>0.14719882118572797</v>
      </c>
      <c r="D67" s="126">
        <f t="shared" si="1"/>
        <v>0.12533406829074106</v>
      </c>
      <c r="E67" s="126">
        <f t="shared" si="2"/>
        <v>9.5299063528178268E-2</v>
      </c>
      <c r="F67" s="126">
        <f t="shared" si="3"/>
        <v>4.318273397929763E-2</v>
      </c>
      <c r="G67" s="126"/>
      <c r="H67" s="27"/>
      <c r="I67" s="99"/>
      <c r="J67" s="121"/>
      <c r="K67" s="99"/>
      <c r="L67" s="99"/>
      <c r="M67" s="99"/>
      <c r="N67" s="13"/>
      <c r="O67" s="11"/>
      <c r="P67" s="112"/>
      <c r="Q67" s="64"/>
      <c r="R67" s="133"/>
      <c r="S67" s="133"/>
      <c r="T67" s="133"/>
      <c r="U67" s="133"/>
      <c r="V67" s="133"/>
    </row>
    <row r="68" spans="1:22" x14ac:dyDescent="0.2">
      <c r="A68" s="121">
        <v>132.84747314453125</v>
      </c>
      <c r="B68" s="143">
        <v>0.30413853757196418</v>
      </c>
      <c r="C68" s="126">
        <f t="shared" si="0"/>
        <v>0.25109882118572791</v>
      </c>
      <c r="D68" s="126">
        <f t="shared" si="1"/>
        <v>0.19036755212113463</v>
      </c>
      <c r="E68" s="126">
        <f t="shared" si="2"/>
        <v>0.16256572110612461</v>
      </c>
      <c r="F68" s="126">
        <f t="shared" si="3"/>
        <v>6.7266657577946337E-2</v>
      </c>
      <c r="G68" s="126"/>
      <c r="H68" s="27"/>
      <c r="I68" s="99"/>
      <c r="J68" s="121"/>
      <c r="K68" s="99"/>
      <c r="L68" s="99"/>
      <c r="M68" s="99"/>
      <c r="N68" s="13"/>
      <c r="O68" s="11"/>
      <c r="P68" s="112"/>
      <c r="Q68" s="133"/>
      <c r="R68" s="133"/>
      <c r="S68" s="133"/>
      <c r="T68" s="133"/>
      <c r="U68" s="133"/>
      <c r="V68" s="133"/>
    </row>
    <row r="69" spans="1:22" x14ac:dyDescent="0.2">
      <c r="A69" s="121">
        <v>144.93611145019531</v>
      </c>
      <c r="B69" s="143">
        <v>0.42653853757196419</v>
      </c>
      <c r="C69" s="126">
        <f t="shared" si="0"/>
        <v>0.37349882118572797</v>
      </c>
      <c r="D69" s="126">
        <f t="shared" si="1"/>
        <v>0.26698062643143466</v>
      </c>
      <c r="E69" s="126">
        <f t="shared" si="2"/>
        <v>0.24180959875329153</v>
      </c>
      <c r="F69" s="126">
        <f t="shared" si="3"/>
        <v>7.9243877647166922E-2</v>
      </c>
      <c r="G69" s="126"/>
      <c r="H69" s="27"/>
      <c r="I69" s="99"/>
      <c r="J69" s="123"/>
      <c r="K69" s="99"/>
      <c r="L69" s="99"/>
      <c r="M69" s="123"/>
      <c r="N69" s="13"/>
      <c r="O69" s="11"/>
      <c r="P69" s="112"/>
      <c r="Q69" s="133"/>
      <c r="R69" s="133"/>
      <c r="S69" s="133"/>
      <c r="T69" s="133"/>
      <c r="U69" s="133"/>
      <c r="V69" s="133"/>
    </row>
    <row r="70" spans="1:22" x14ac:dyDescent="0.2">
      <c r="A70" s="121">
        <v>158.12440490722656</v>
      </c>
      <c r="B70" s="143">
        <v>0.5570385375719642</v>
      </c>
      <c r="C70" s="126">
        <f t="shared" si="0"/>
        <v>0.50399882118572792</v>
      </c>
      <c r="D70" s="126">
        <f t="shared" si="1"/>
        <v>0.34866368360050459</v>
      </c>
      <c r="E70" s="126">
        <f t="shared" si="2"/>
        <v>0.32629755653887382</v>
      </c>
      <c r="F70" s="126">
        <f t="shared" si="3"/>
        <v>8.4487957785582296E-2</v>
      </c>
      <c r="G70" s="126"/>
      <c r="H70" s="27"/>
      <c r="I70" s="99"/>
      <c r="J70" s="123"/>
      <c r="K70" s="99"/>
      <c r="L70" s="99"/>
      <c r="M70" s="123"/>
      <c r="N70" s="13"/>
      <c r="O70" s="11"/>
      <c r="P70" s="112"/>
      <c r="Q70" s="133"/>
      <c r="R70" s="133"/>
      <c r="S70" s="133"/>
      <c r="T70" s="133"/>
      <c r="U70" s="133"/>
      <c r="V70" s="133"/>
    </row>
    <row r="71" spans="1:22" x14ac:dyDescent="0.2">
      <c r="A71" s="121">
        <v>174.06202697753906</v>
      </c>
      <c r="B71" s="143">
        <v>0.64113853757196426</v>
      </c>
      <c r="C71" s="126">
        <f t="shared" si="0"/>
        <v>0.58809882118572798</v>
      </c>
      <c r="D71" s="126">
        <f t="shared" si="1"/>
        <v>0.40130387599834971</v>
      </c>
      <c r="E71" s="126">
        <f t="shared" si="2"/>
        <v>0.38074535155624911</v>
      </c>
      <c r="F71" s="126">
        <f t="shared" si="3"/>
        <v>5.4447795017375289E-2</v>
      </c>
      <c r="G71" s="126"/>
      <c r="H71" s="27"/>
      <c r="I71" s="99"/>
      <c r="J71" s="123"/>
      <c r="K71" s="99"/>
      <c r="L71" s="99"/>
      <c r="M71" s="123"/>
      <c r="N71" s="13"/>
      <c r="O71" s="11"/>
      <c r="P71" s="112"/>
      <c r="Q71" s="133"/>
      <c r="R71" s="133"/>
      <c r="S71" s="133"/>
      <c r="T71" s="133"/>
      <c r="U71" s="133"/>
      <c r="V71" s="133"/>
    </row>
    <row r="72" spans="1:22" x14ac:dyDescent="0.2">
      <c r="A72" s="121">
        <v>190.40737915039062</v>
      </c>
      <c r="B72" s="143">
        <v>0.68823853757196429</v>
      </c>
      <c r="C72" s="126">
        <f t="shared" si="0"/>
        <v>0.63519882118572801</v>
      </c>
      <c r="D72" s="126">
        <f t="shared" si="1"/>
        <v>0.43078488743638182</v>
      </c>
      <c r="E72" s="126">
        <f t="shared" si="2"/>
        <v>0.41123870643518345</v>
      </c>
      <c r="F72" s="126">
        <f t="shared" si="3"/>
        <v>3.0493354878934342E-2</v>
      </c>
      <c r="G72" s="126"/>
      <c r="H72" s="27"/>
      <c r="I72" s="99"/>
      <c r="J72" s="123"/>
      <c r="K72" s="99"/>
      <c r="L72" s="99"/>
      <c r="M72" s="123"/>
      <c r="N72" s="13"/>
      <c r="O72" s="11"/>
      <c r="P72" s="112"/>
      <c r="Q72" s="133"/>
      <c r="R72" s="133"/>
      <c r="S72" s="133"/>
      <c r="T72" s="133"/>
      <c r="U72" s="133"/>
      <c r="V72" s="133"/>
    </row>
    <row r="73" spans="1:22" x14ac:dyDescent="0.2">
      <c r="A73" s="121">
        <v>208.59934997558594</v>
      </c>
      <c r="B73" s="143">
        <v>0.72973853757196427</v>
      </c>
      <c r="C73" s="126">
        <f t="shared" si="0"/>
        <v>0.67669882118572799</v>
      </c>
      <c r="D73" s="126">
        <f t="shared" si="1"/>
        <v>0.45676072553995578</v>
      </c>
      <c r="E73" s="126">
        <f t="shared" si="2"/>
        <v>0.43810652442829967</v>
      </c>
      <c r="F73" s="126">
        <f t="shared" si="3"/>
        <v>2.6867817993116216E-2</v>
      </c>
      <c r="G73" s="126"/>
      <c r="H73" s="27"/>
      <c r="I73" s="99"/>
      <c r="J73" s="123"/>
      <c r="K73" s="99"/>
      <c r="L73" s="99"/>
      <c r="M73" s="123"/>
      <c r="N73" s="13"/>
      <c r="O73" s="11"/>
      <c r="P73" s="112"/>
      <c r="Q73" s="133"/>
      <c r="R73" s="133"/>
      <c r="S73" s="133"/>
      <c r="T73" s="133"/>
      <c r="U73" s="133"/>
      <c r="V73" s="133"/>
    </row>
    <row r="74" spans="1:22" x14ac:dyDescent="0.2">
      <c r="A74" s="121">
        <v>228.20649719238281</v>
      </c>
      <c r="B74" s="143">
        <v>0.76803853757196427</v>
      </c>
      <c r="C74" s="126">
        <f t="shared" si="0"/>
        <v>0.714998821185728</v>
      </c>
      <c r="D74" s="126">
        <f t="shared" si="1"/>
        <v>0.48073360745241078</v>
      </c>
      <c r="E74" s="126">
        <f t="shared" si="2"/>
        <v>0.46290260705809128</v>
      </c>
      <c r="F74" s="126">
        <f t="shared" si="3"/>
        <v>2.4796082629791605E-2</v>
      </c>
      <c r="G74" s="126"/>
      <c r="H74" s="27"/>
      <c r="I74" s="99"/>
      <c r="J74" s="123"/>
      <c r="K74" s="99"/>
      <c r="L74" s="123"/>
      <c r="M74" s="123"/>
      <c r="N74" s="13"/>
      <c r="O74" s="11"/>
      <c r="P74" s="112"/>
      <c r="Q74" s="133"/>
      <c r="R74" s="133"/>
      <c r="S74" s="133"/>
      <c r="T74" s="133"/>
      <c r="U74" s="133"/>
      <c r="V74" s="133"/>
    </row>
    <row r="75" spans="1:22" x14ac:dyDescent="0.2">
      <c r="A75" s="121">
        <v>250.36659240722656</v>
      </c>
      <c r="B75" s="143">
        <v>0.80183853757196422</v>
      </c>
      <c r="C75" s="126">
        <f t="shared" si="0"/>
        <v>0.74879882118572794</v>
      </c>
      <c r="D75" s="126">
        <f t="shared" si="1"/>
        <v>0.50188983222110473</v>
      </c>
      <c r="E75" s="126">
        <f t="shared" si="2"/>
        <v>0.48478531183320756</v>
      </c>
      <c r="F75" s="126">
        <f t="shared" si="3"/>
        <v>2.188270477511628E-2</v>
      </c>
      <c r="G75" s="126"/>
      <c r="H75" s="27"/>
      <c r="I75" s="99"/>
      <c r="J75" s="123"/>
      <c r="K75" s="99"/>
      <c r="L75" s="123"/>
      <c r="M75" s="123"/>
      <c r="N75" s="13"/>
      <c r="O75" s="11"/>
      <c r="P75" s="112"/>
      <c r="Q75" s="133"/>
      <c r="R75" s="133"/>
      <c r="S75" s="133"/>
      <c r="T75" s="133"/>
      <c r="U75" s="133"/>
      <c r="V75" s="133"/>
    </row>
    <row r="76" spans="1:22" x14ac:dyDescent="0.2">
      <c r="A76" s="121">
        <v>272.64837646484375</v>
      </c>
      <c r="B76" s="143">
        <v>0.83233853757196419</v>
      </c>
      <c r="C76" s="126">
        <f t="shared" si="0"/>
        <v>0.77929882118572791</v>
      </c>
      <c r="D76" s="126">
        <f t="shared" si="1"/>
        <v>0.52098050841770727</v>
      </c>
      <c r="E76" s="126">
        <f t="shared" si="2"/>
        <v>0.50453153951489538</v>
      </c>
      <c r="F76" s="126">
        <f t="shared" si="3"/>
        <v>1.9746227681687822E-2</v>
      </c>
      <c r="G76" s="126"/>
      <c r="H76" s="27"/>
      <c r="I76" s="99"/>
      <c r="J76" s="123"/>
      <c r="K76" s="99"/>
      <c r="L76" s="123"/>
      <c r="M76" s="123"/>
      <c r="N76" s="13"/>
      <c r="O76" s="11"/>
      <c r="P76" s="112"/>
      <c r="Q76" s="133"/>
      <c r="R76" s="133"/>
      <c r="S76" s="133"/>
      <c r="T76" s="133"/>
      <c r="U76" s="133"/>
      <c r="V76" s="133"/>
    </row>
    <row r="77" spans="1:22" x14ac:dyDescent="0.2">
      <c r="A77" s="121">
        <v>299.10467529296875</v>
      </c>
      <c r="B77" s="143">
        <v>0.86133853757196421</v>
      </c>
      <c r="C77" s="126">
        <f t="shared" si="0"/>
        <v>0.80829882118572793</v>
      </c>
      <c r="D77" s="126">
        <f t="shared" si="1"/>
        <v>0.53913229889972281</v>
      </c>
      <c r="E77" s="126">
        <f t="shared" si="2"/>
        <v>0.5233066412450248</v>
      </c>
      <c r="F77" s="126">
        <f t="shared" si="3"/>
        <v>1.8775101730129418E-2</v>
      </c>
      <c r="G77" s="126"/>
      <c r="H77" s="27"/>
      <c r="I77" s="99"/>
      <c r="J77" s="123"/>
      <c r="K77" s="99"/>
      <c r="L77" s="123"/>
      <c r="M77" s="123"/>
      <c r="N77" s="13"/>
      <c r="O77" s="11"/>
      <c r="P77" s="112"/>
      <c r="Q77" s="133"/>
      <c r="R77" s="133"/>
      <c r="S77" s="133"/>
      <c r="T77" s="133"/>
      <c r="U77" s="133"/>
      <c r="V77" s="133"/>
    </row>
    <row r="78" spans="1:22" x14ac:dyDescent="0.2">
      <c r="A78" s="121">
        <v>326.82269287109375</v>
      </c>
      <c r="B78" s="143">
        <v>0.88813853757196426</v>
      </c>
      <c r="C78" s="126">
        <f t="shared" si="0"/>
        <v>0.83509882118572798</v>
      </c>
      <c r="D78" s="126">
        <f t="shared" si="1"/>
        <v>0.55590705700034404</v>
      </c>
      <c r="E78" s="126">
        <f t="shared" si="2"/>
        <v>0.5406574249128685</v>
      </c>
      <c r="F78" s="126">
        <f t="shared" si="3"/>
        <v>1.7350783667843706E-2</v>
      </c>
      <c r="G78" s="126"/>
      <c r="H78" s="27"/>
      <c r="I78" s="99"/>
      <c r="J78" s="123"/>
      <c r="K78" s="99"/>
      <c r="L78" s="123"/>
      <c r="M78" s="123"/>
      <c r="N78" s="13"/>
      <c r="O78" s="11"/>
      <c r="P78" s="112"/>
      <c r="Q78" s="133"/>
      <c r="R78" s="133"/>
      <c r="S78" s="133"/>
      <c r="T78" s="133"/>
      <c r="U78" s="133"/>
      <c r="V78" s="133"/>
    </row>
    <row r="79" spans="1:22" x14ac:dyDescent="0.2">
      <c r="A79" s="121">
        <v>357.80282592773437</v>
      </c>
      <c r="B79" s="143">
        <v>0.91363853757196423</v>
      </c>
      <c r="C79" s="126">
        <f t="shared" si="0"/>
        <v>0.86059882118572795</v>
      </c>
      <c r="D79" s="126">
        <f t="shared" si="1"/>
        <v>0.57186811414832328</v>
      </c>
      <c r="E79" s="126">
        <f t="shared" si="2"/>
        <v>0.55716656608936166</v>
      </c>
      <c r="F79" s="126">
        <f t="shared" si="3"/>
        <v>1.6509141176493158E-2</v>
      </c>
      <c r="G79" s="126"/>
      <c r="H79" s="27"/>
      <c r="I79" s="99"/>
      <c r="J79" s="123"/>
      <c r="K79" s="99"/>
      <c r="L79" s="123"/>
      <c r="M79" s="123"/>
      <c r="N79" s="13"/>
      <c r="O79" s="11"/>
      <c r="P79" s="112"/>
      <c r="Q79" s="133"/>
      <c r="R79" s="133"/>
      <c r="S79" s="133"/>
      <c r="T79" s="133"/>
      <c r="U79" s="133"/>
      <c r="V79" s="133"/>
    </row>
    <row r="80" spans="1:22" x14ac:dyDescent="0.2">
      <c r="A80" s="121">
        <v>391.48748779296875</v>
      </c>
      <c r="B80" s="143">
        <v>0.93833853757196428</v>
      </c>
      <c r="C80" s="126">
        <f t="shared" si="0"/>
        <v>0.885298821185728</v>
      </c>
      <c r="D80" s="126">
        <f t="shared" si="1"/>
        <v>0.58732843224852271</v>
      </c>
      <c r="E80" s="126">
        <f t="shared" si="2"/>
        <v>0.57315777342502361</v>
      </c>
      <c r="F80" s="126">
        <f t="shared" si="3"/>
        <v>1.599120733566195E-2</v>
      </c>
      <c r="G80" s="126"/>
      <c r="H80" s="27"/>
      <c r="I80" s="99"/>
      <c r="J80" s="123"/>
      <c r="K80" s="99"/>
      <c r="L80" s="123"/>
      <c r="M80" s="123"/>
      <c r="N80" s="13"/>
      <c r="O80" s="11"/>
      <c r="P80" s="112"/>
      <c r="Q80" s="133"/>
      <c r="R80" s="133"/>
      <c r="S80" s="133"/>
      <c r="T80" s="133"/>
      <c r="U80" s="133"/>
      <c r="V80" s="133"/>
    </row>
    <row r="81" spans="1:22" x14ac:dyDescent="0.2">
      <c r="A81" s="121">
        <v>428.63864135742187</v>
      </c>
      <c r="B81" s="143">
        <v>0.9622385375719642</v>
      </c>
      <c r="C81" s="126">
        <f t="shared" si="0"/>
        <v>0.90919882118572792</v>
      </c>
      <c r="D81" s="126">
        <f t="shared" si="1"/>
        <v>0.60228801130094234</v>
      </c>
      <c r="E81" s="126">
        <f t="shared" si="2"/>
        <v>0.58863104691985435</v>
      </c>
      <c r="F81" s="126">
        <f t="shared" si="3"/>
        <v>1.5473273494830742E-2</v>
      </c>
      <c r="G81" s="126"/>
      <c r="H81" s="27"/>
      <c r="I81" s="99"/>
      <c r="J81" s="123"/>
      <c r="K81" s="99"/>
      <c r="L81" s="123"/>
      <c r="M81" s="123"/>
      <c r="N81" s="13"/>
      <c r="O81" s="11"/>
      <c r="P81" s="112"/>
      <c r="Q81" s="133"/>
      <c r="R81" s="133"/>
      <c r="S81" s="133"/>
      <c r="T81" s="133"/>
      <c r="U81" s="133"/>
      <c r="V81" s="133"/>
    </row>
    <row r="82" spans="1:22" x14ac:dyDescent="0.2">
      <c r="A82" s="121">
        <v>467.975830078125</v>
      </c>
      <c r="B82" s="143">
        <v>0.9854385375719642</v>
      </c>
      <c r="C82" s="126">
        <f t="shared" si="0"/>
        <v>0.93239882118572792</v>
      </c>
      <c r="D82" s="126">
        <f t="shared" si="1"/>
        <v>0.61680944368655477</v>
      </c>
      <c r="E82" s="126">
        <f t="shared" si="2"/>
        <v>0.60365112830395784</v>
      </c>
      <c r="F82" s="126">
        <f t="shared" si="3"/>
        <v>1.502008138410349E-2</v>
      </c>
      <c r="G82" s="126"/>
      <c r="H82" s="27"/>
      <c r="I82" s="99"/>
      <c r="J82" s="123"/>
      <c r="K82" s="99"/>
      <c r="L82" s="123"/>
      <c r="M82" s="123"/>
      <c r="N82" s="13"/>
      <c r="O82" s="11"/>
      <c r="P82" s="112"/>
      <c r="Q82" s="133"/>
      <c r="R82" s="133"/>
      <c r="S82" s="133"/>
      <c r="T82" s="133"/>
      <c r="U82" s="133"/>
      <c r="V82" s="133"/>
    </row>
    <row r="83" spans="1:22" x14ac:dyDescent="0.2">
      <c r="A83" s="121">
        <v>512.58026123046875</v>
      </c>
      <c r="B83" s="143">
        <v>1.0075385375719641</v>
      </c>
      <c r="C83" s="126">
        <f t="shared" si="0"/>
        <v>0.95449882118572782</v>
      </c>
      <c r="D83" s="126">
        <f t="shared" si="1"/>
        <v>0.63064235988146999</v>
      </c>
      <c r="E83" s="126">
        <f t="shared" si="2"/>
        <v>0.61795905065691847</v>
      </c>
      <c r="F83" s="126">
        <f t="shared" si="3"/>
        <v>1.4307922352960634E-2</v>
      </c>
      <c r="G83" s="126"/>
      <c r="H83" s="27"/>
      <c r="I83" s="123"/>
      <c r="J83" s="123"/>
      <c r="K83" s="99"/>
      <c r="L83" s="123"/>
      <c r="M83" s="123"/>
      <c r="N83" s="13"/>
      <c r="O83" s="11"/>
      <c r="P83" s="112"/>
      <c r="Q83" s="133"/>
      <c r="R83" s="133"/>
      <c r="S83" s="133"/>
      <c r="T83" s="133"/>
      <c r="U83" s="133"/>
      <c r="V83" s="133"/>
    </row>
    <row r="84" spans="1:22" x14ac:dyDescent="0.2">
      <c r="A84" s="121">
        <v>562.6224365234375</v>
      </c>
      <c r="B84" s="143">
        <v>1.0299385375719641</v>
      </c>
      <c r="C84" s="126">
        <f t="shared" si="0"/>
        <v>0.97689882118572779</v>
      </c>
      <c r="D84" s="126">
        <f t="shared" si="1"/>
        <v>0.64466305321930273</v>
      </c>
      <c r="E84" s="126">
        <f t="shared" si="2"/>
        <v>0.63246119820019076</v>
      </c>
      <c r="F84" s="126">
        <f t="shared" si="3"/>
        <v>1.4502147543272281E-2</v>
      </c>
      <c r="G84" s="126"/>
      <c r="H84" s="27"/>
      <c r="I84" s="123"/>
      <c r="J84" s="123"/>
      <c r="K84" s="99"/>
      <c r="L84" s="123"/>
      <c r="M84" s="123"/>
      <c r="N84" s="13"/>
      <c r="O84" s="11"/>
      <c r="P84" s="112"/>
      <c r="Q84" s="133"/>
      <c r="R84" s="133"/>
      <c r="S84" s="133"/>
      <c r="T84" s="133"/>
      <c r="U84" s="133"/>
      <c r="V84" s="133"/>
    </row>
    <row r="85" spans="1:22" x14ac:dyDescent="0.2">
      <c r="A85" s="121">
        <v>613.44879150390625</v>
      </c>
      <c r="B85" s="143">
        <v>1.0513385375719642</v>
      </c>
      <c r="C85" s="126">
        <f t="shared" si="0"/>
        <v>0.99829882118572788</v>
      </c>
      <c r="D85" s="126">
        <f t="shared" si="1"/>
        <v>0.65805782274741076</v>
      </c>
      <c r="E85" s="126">
        <f t="shared" si="2"/>
        <v>0.64631592844242425</v>
      </c>
      <c r="F85" s="126">
        <f t="shared" si="3"/>
        <v>1.3854730242233493E-2</v>
      </c>
      <c r="G85" s="126"/>
      <c r="H85" s="27"/>
      <c r="I85" s="123"/>
      <c r="J85" s="123"/>
      <c r="K85" s="99"/>
      <c r="L85" s="123"/>
      <c r="M85" s="123"/>
      <c r="N85" s="13"/>
      <c r="O85" s="11"/>
      <c r="P85" s="112"/>
      <c r="Q85" s="133"/>
      <c r="R85" s="133"/>
      <c r="S85" s="133"/>
      <c r="T85" s="133"/>
      <c r="U85" s="133"/>
      <c r="V85" s="133"/>
    </row>
    <row r="86" spans="1:22" x14ac:dyDescent="0.2">
      <c r="A86" s="121">
        <v>671.74920654296875</v>
      </c>
      <c r="B86" s="143">
        <v>1.0726385375719643</v>
      </c>
      <c r="C86" s="126">
        <f t="shared" si="0"/>
        <v>1.0195988211857281</v>
      </c>
      <c r="D86" s="126">
        <f t="shared" si="1"/>
        <v>0.6713899998945464</v>
      </c>
      <c r="E86" s="126">
        <f t="shared" si="2"/>
        <v>0.6601059169545539</v>
      </c>
      <c r="F86" s="126">
        <f t="shared" si="3"/>
        <v>1.3789988512129647E-2</v>
      </c>
      <c r="G86" s="126"/>
      <c r="H86" s="27"/>
      <c r="I86" s="123"/>
      <c r="J86" s="123"/>
      <c r="K86" s="99"/>
      <c r="L86" s="123"/>
      <c r="M86" s="123"/>
      <c r="N86" s="13"/>
      <c r="O86" s="11"/>
      <c r="P86" s="112"/>
      <c r="Q86" s="133"/>
      <c r="R86" s="133"/>
      <c r="S86" s="133"/>
      <c r="T86" s="133"/>
      <c r="U86" s="133"/>
      <c r="V86" s="133"/>
    </row>
    <row r="87" spans="1:22" x14ac:dyDescent="0.2">
      <c r="A87" s="121">
        <v>733.86187744140625</v>
      </c>
      <c r="B87" s="143">
        <v>1.0930385375719642</v>
      </c>
      <c r="C87" s="126">
        <f t="shared" si="0"/>
        <v>1.0399988211857281</v>
      </c>
      <c r="D87" s="126">
        <f t="shared" si="1"/>
        <v>0.68415884561292972</v>
      </c>
      <c r="E87" s="126">
        <f t="shared" si="2"/>
        <v>0.67331322989574838</v>
      </c>
      <c r="F87" s="126">
        <f t="shared" si="3"/>
        <v>1.3207312941194482E-2</v>
      </c>
      <c r="G87" s="126"/>
      <c r="H87" s="27"/>
      <c r="I87" s="123"/>
      <c r="J87" s="123"/>
      <c r="K87" s="99"/>
      <c r="L87" s="123"/>
      <c r="M87" s="123"/>
      <c r="N87" s="13"/>
      <c r="O87" s="11"/>
      <c r="P87" s="112"/>
      <c r="Q87" s="133"/>
      <c r="R87" s="133"/>
      <c r="S87" s="133"/>
      <c r="T87" s="133"/>
      <c r="U87" s="133"/>
      <c r="V87" s="133"/>
    </row>
    <row r="88" spans="1:22" x14ac:dyDescent="0.2">
      <c r="A88" s="121">
        <v>803.56866455078125</v>
      </c>
      <c r="B88" s="143">
        <v>1.1134385375719642</v>
      </c>
      <c r="C88" s="126">
        <f t="shared" si="0"/>
        <v>1.060398821185728</v>
      </c>
      <c r="D88" s="126">
        <f t="shared" si="1"/>
        <v>0.69692769133131305</v>
      </c>
      <c r="E88" s="126">
        <f t="shared" si="2"/>
        <v>0.68652054283694286</v>
      </c>
      <c r="F88" s="126">
        <f t="shared" si="3"/>
        <v>1.3207312941194482E-2</v>
      </c>
      <c r="G88" s="126"/>
      <c r="H88" s="27"/>
      <c r="I88" s="123"/>
      <c r="J88" s="123"/>
      <c r="K88" s="99"/>
      <c r="L88" s="123"/>
      <c r="M88" s="123"/>
      <c r="N88" s="13"/>
      <c r="O88" s="11"/>
      <c r="P88" s="112"/>
      <c r="Q88" s="133"/>
      <c r="R88" s="133"/>
      <c r="S88" s="133"/>
      <c r="T88" s="133"/>
      <c r="U88" s="133"/>
      <c r="V88" s="133"/>
    </row>
    <row r="89" spans="1:22" x14ac:dyDescent="0.2">
      <c r="A89" s="121">
        <v>879.83209228515625</v>
      </c>
      <c r="B89" s="143">
        <v>1.1328385375719643</v>
      </c>
      <c r="C89" s="126">
        <f t="shared" si="0"/>
        <v>1.0797988211857281</v>
      </c>
      <c r="D89" s="126">
        <f t="shared" si="1"/>
        <v>0.70907061323997178</v>
      </c>
      <c r="E89" s="126">
        <f t="shared" si="2"/>
        <v>0.69908043847709844</v>
      </c>
      <c r="F89" s="126">
        <f t="shared" si="3"/>
        <v>1.2559895640155583E-2</v>
      </c>
      <c r="G89" s="126"/>
      <c r="H89" s="27"/>
      <c r="I89" s="123"/>
      <c r="J89" s="123"/>
      <c r="K89" s="99"/>
      <c r="L89" s="123"/>
      <c r="M89" s="123"/>
      <c r="N89" s="13"/>
      <c r="O89" s="11"/>
      <c r="P89" s="112"/>
      <c r="Q89" s="133"/>
      <c r="R89" s="133"/>
      <c r="S89" s="133"/>
      <c r="T89" s="133"/>
      <c r="U89" s="133"/>
      <c r="V89" s="133"/>
    </row>
    <row r="90" spans="1:22" x14ac:dyDescent="0.2">
      <c r="A90" s="121">
        <v>962.81219482421875</v>
      </c>
      <c r="B90" s="143">
        <v>1.1520385375719642</v>
      </c>
      <c r="C90" s="126">
        <f t="shared" si="0"/>
        <v>1.098998821185728</v>
      </c>
      <c r="D90" s="126">
        <f t="shared" si="1"/>
        <v>0.72108835038668539</v>
      </c>
      <c r="E90" s="126">
        <f t="shared" si="2"/>
        <v>0.71151085065704611</v>
      </c>
      <c r="F90" s="126">
        <f t="shared" si="3"/>
        <v>1.243041217994767E-2</v>
      </c>
      <c r="G90" s="126"/>
      <c r="H90" s="27"/>
      <c r="I90" s="123"/>
      <c r="J90" s="123"/>
      <c r="K90" s="99"/>
      <c r="L90" s="123"/>
      <c r="M90" s="123"/>
      <c r="N90" s="13"/>
      <c r="O90" s="11"/>
      <c r="P90" s="112"/>
      <c r="Q90" s="133"/>
      <c r="R90" s="133"/>
      <c r="S90" s="133"/>
      <c r="T90" s="133"/>
      <c r="U90" s="133"/>
      <c r="V90" s="133"/>
    </row>
    <row r="91" spans="1:22" x14ac:dyDescent="0.2">
      <c r="A91" s="121">
        <v>1049.2786865234375</v>
      </c>
      <c r="B91" s="143">
        <v>1.1698385375719642</v>
      </c>
      <c r="C91" s="126">
        <f t="shared" si="0"/>
        <v>1.116798821185728</v>
      </c>
      <c r="D91" s="126">
        <f t="shared" si="1"/>
        <v>0.73222979419978462</v>
      </c>
      <c r="E91" s="126">
        <f t="shared" si="2"/>
        <v>0.72303487861553939</v>
      </c>
      <c r="F91" s="126">
        <f t="shared" si="3"/>
        <v>1.1524027958493277E-2</v>
      </c>
      <c r="G91" s="126"/>
      <c r="H91" s="27"/>
      <c r="I91" s="123"/>
      <c r="J91" s="123"/>
      <c r="K91" s="99"/>
      <c r="L91" s="123"/>
      <c r="M91" s="123"/>
      <c r="N91" s="13"/>
      <c r="O91" s="11"/>
      <c r="P91" s="112"/>
      <c r="Q91" s="133"/>
      <c r="R91" s="133"/>
      <c r="S91" s="133"/>
      <c r="T91" s="133"/>
      <c r="U91" s="133"/>
      <c r="V91" s="133"/>
    </row>
    <row r="92" spans="1:22" x14ac:dyDescent="0.2">
      <c r="A92" s="121">
        <v>1147.34423828125</v>
      </c>
      <c r="B92" s="143">
        <v>1.1881385375719642</v>
      </c>
      <c r="C92" s="126">
        <f t="shared" si="0"/>
        <v>1.135098821185728</v>
      </c>
      <c r="D92" s="126">
        <f t="shared" si="1"/>
        <v>0.74368419991774615</v>
      </c>
      <c r="E92" s="126">
        <f t="shared" si="2"/>
        <v>0.734882615224552</v>
      </c>
      <c r="F92" s="126">
        <f t="shared" si="3"/>
        <v>1.1847736609012616E-2</v>
      </c>
      <c r="G92" s="126"/>
      <c r="H92" s="27"/>
      <c r="I92" s="123"/>
      <c r="J92" s="123"/>
      <c r="K92" s="123"/>
      <c r="L92" s="123"/>
      <c r="M92" s="123"/>
      <c r="N92" s="13"/>
      <c r="O92" s="11"/>
      <c r="P92" s="112"/>
      <c r="Q92" s="133"/>
      <c r="R92" s="133"/>
      <c r="S92" s="133"/>
      <c r="T92" s="133"/>
      <c r="U92" s="133"/>
      <c r="V92" s="133"/>
    </row>
    <row r="93" spans="1:22" x14ac:dyDescent="0.2">
      <c r="A93" s="121">
        <v>1258.3243408203125</v>
      </c>
      <c r="B93" s="143">
        <v>1.2061385375719642</v>
      </c>
      <c r="C93" s="126">
        <f t="shared" si="0"/>
        <v>1.153098821185728</v>
      </c>
      <c r="D93" s="126">
        <f t="shared" si="1"/>
        <v>0.75495082849279027</v>
      </c>
      <c r="E93" s="126">
        <f t="shared" si="2"/>
        <v>0.74653612664325308</v>
      </c>
      <c r="F93" s="126">
        <f t="shared" si="3"/>
        <v>1.1653511418701079E-2</v>
      </c>
      <c r="G93" s="126"/>
      <c r="H93" s="27"/>
      <c r="I93" s="123"/>
      <c r="J93" s="123"/>
      <c r="K93" s="123"/>
      <c r="L93" s="123"/>
      <c r="M93" s="123"/>
      <c r="N93" s="13"/>
      <c r="O93" s="11"/>
      <c r="P93" s="112"/>
      <c r="Q93" s="133"/>
      <c r="R93" s="133"/>
      <c r="S93" s="133"/>
      <c r="T93" s="133"/>
      <c r="U93" s="133"/>
      <c r="V93" s="133"/>
    </row>
    <row r="94" spans="1:22" x14ac:dyDescent="0.2">
      <c r="A94" s="121">
        <v>1378.476806640625</v>
      </c>
      <c r="B94" s="143">
        <v>1.2237385375719643</v>
      </c>
      <c r="C94" s="126">
        <f t="shared" si="0"/>
        <v>1.1706988211857281</v>
      </c>
      <c r="D94" s="126">
        <f t="shared" si="1"/>
        <v>0.7659670875439446</v>
      </c>
      <c r="E94" s="126">
        <f t="shared" si="2"/>
        <v>0.75793067114153856</v>
      </c>
      <c r="F94" s="126">
        <f t="shared" si="3"/>
        <v>1.1394544498285475E-2</v>
      </c>
      <c r="G94" s="126"/>
      <c r="H94" s="27"/>
      <c r="I94" s="123"/>
      <c r="J94" s="123"/>
      <c r="K94" s="123"/>
      <c r="L94" s="123"/>
      <c r="M94" s="123"/>
      <c r="N94" s="13"/>
      <c r="O94" s="11"/>
      <c r="P94" s="112"/>
      <c r="Q94" s="133"/>
      <c r="R94" s="133"/>
      <c r="S94" s="133"/>
      <c r="T94" s="133"/>
      <c r="U94" s="133"/>
      <c r="V94" s="133"/>
    </row>
    <row r="95" spans="1:22" x14ac:dyDescent="0.2">
      <c r="A95" s="121">
        <v>1509.9443359375</v>
      </c>
      <c r="B95" s="143">
        <v>1.2404385375719642</v>
      </c>
      <c r="C95" s="126">
        <f t="shared" si="0"/>
        <v>1.187398821185728</v>
      </c>
      <c r="D95" s="126">
        <f t="shared" si="1"/>
        <v>0.77642001516634662</v>
      </c>
      <c r="E95" s="126">
        <f t="shared" si="2"/>
        <v>0.76874254006888887</v>
      </c>
      <c r="F95" s="126">
        <f t="shared" si="3"/>
        <v>1.081186892735031E-2</v>
      </c>
      <c r="G95" s="126"/>
      <c r="H95" s="27"/>
      <c r="I95" s="123"/>
      <c r="J95" s="123"/>
      <c r="K95" s="123"/>
      <c r="L95" s="123"/>
      <c r="M95" s="123"/>
      <c r="N95" s="13"/>
      <c r="O95" s="11"/>
      <c r="P95" s="112"/>
      <c r="Q95" s="133"/>
      <c r="R95" s="133"/>
      <c r="S95" s="133"/>
      <c r="T95" s="133"/>
      <c r="U95" s="133"/>
      <c r="V95" s="133"/>
    </row>
    <row r="96" spans="1:22" x14ac:dyDescent="0.2">
      <c r="A96" s="121">
        <v>1649.330322265625</v>
      </c>
      <c r="B96" s="143">
        <v>1.2562385375719642</v>
      </c>
      <c r="C96" s="126">
        <f t="shared" si="0"/>
        <v>1.2031988211857281</v>
      </c>
      <c r="D96" s="126">
        <f t="shared" si="1"/>
        <v>0.78630961135999644</v>
      </c>
      <c r="E96" s="126">
        <f t="shared" si="2"/>
        <v>0.77897173342530424</v>
      </c>
      <c r="F96" s="126">
        <f t="shared" si="3"/>
        <v>1.0229193356415367E-2</v>
      </c>
      <c r="G96" s="126"/>
      <c r="H96" s="27"/>
      <c r="I96" s="123"/>
      <c r="J96" s="123"/>
      <c r="K96" s="123"/>
      <c r="L96" s="123"/>
      <c r="M96" s="123"/>
      <c r="N96" s="13"/>
      <c r="O96" s="11"/>
      <c r="P96" s="112"/>
      <c r="Q96" s="133"/>
      <c r="R96" s="133"/>
      <c r="S96" s="133"/>
      <c r="T96" s="133"/>
      <c r="U96" s="133"/>
      <c r="V96" s="133"/>
    </row>
    <row r="97" spans="1:22" x14ac:dyDescent="0.2">
      <c r="A97" s="121">
        <v>1811.697021484375</v>
      </c>
      <c r="B97" s="143">
        <v>1.2725385375719642</v>
      </c>
      <c r="C97" s="126">
        <f t="shared" si="0"/>
        <v>1.2194988211857281</v>
      </c>
      <c r="D97" s="126">
        <f t="shared" si="1"/>
        <v>0.79651216945850867</v>
      </c>
      <c r="E97" s="126">
        <f t="shared" si="2"/>
        <v>0.78952463543223905</v>
      </c>
      <c r="F97" s="126">
        <f t="shared" si="3"/>
        <v>1.0552902006934817E-2</v>
      </c>
      <c r="G97" s="126"/>
      <c r="H97" s="27"/>
      <c r="I97" s="123"/>
      <c r="J97" s="123"/>
      <c r="K97" s="123"/>
      <c r="L97" s="123"/>
      <c r="M97" s="123"/>
      <c r="N97" s="13"/>
      <c r="O97" s="11"/>
      <c r="P97" s="112"/>
      <c r="Q97" s="133"/>
      <c r="R97" s="133"/>
      <c r="S97" s="133"/>
      <c r="T97" s="133"/>
      <c r="U97" s="133"/>
      <c r="V97" s="133"/>
    </row>
    <row r="98" spans="1:22" x14ac:dyDescent="0.2">
      <c r="A98" s="121">
        <v>1978.39794921875</v>
      </c>
      <c r="B98" s="143">
        <v>1.2878385375719643</v>
      </c>
      <c r="C98" s="126">
        <f t="shared" si="0"/>
        <v>1.2347988211857281</v>
      </c>
      <c r="D98" s="126">
        <f t="shared" si="1"/>
        <v>0.80608880374729619</v>
      </c>
      <c r="E98" s="126">
        <f t="shared" si="2"/>
        <v>0.79943012013813497</v>
      </c>
      <c r="F98" s="126">
        <f t="shared" si="3"/>
        <v>9.9054847058959172E-3</v>
      </c>
      <c r="G98" s="126"/>
      <c r="H98" s="27"/>
      <c r="I98" s="123"/>
      <c r="J98" s="123"/>
      <c r="K98" s="123"/>
      <c r="L98" s="123"/>
      <c r="M98" s="123"/>
      <c r="N98" s="13"/>
      <c r="O98" s="11"/>
      <c r="P98" s="112"/>
      <c r="Q98" s="133"/>
      <c r="R98" s="133"/>
      <c r="S98" s="133"/>
      <c r="T98" s="133"/>
      <c r="U98" s="133"/>
      <c r="V98" s="133"/>
    </row>
    <row r="99" spans="1:22" x14ac:dyDescent="0.2">
      <c r="A99" s="121">
        <v>2158.043212890625</v>
      </c>
      <c r="B99" s="143">
        <v>1.3023385375719643</v>
      </c>
      <c r="C99" s="126">
        <f t="shared" si="0"/>
        <v>1.2492988211857281</v>
      </c>
      <c r="D99" s="126">
        <f t="shared" si="1"/>
        <v>0.8151646989883039</v>
      </c>
      <c r="E99" s="126">
        <f t="shared" si="2"/>
        <v>0.80881767100319957</v>
      </c>
      <c r="F99" s="126">
        <f t="shared" si="3"/>
        <v>9.3875508650645978E-3</v>
      </c>
      <c r="G99" s="126"/>
      <c r="H99" s="27"/>
      <c r="I99" s="123"/>
      <c r="J99" s="123"/>
      <c r="K99" s="123"/>
      <c r="L99" s="123"/>
      <c r="M99" s="123"/>
      <c r="N99" s="13"/>
      <c r="O99" s="11"/>
      <c r="P99" s="112"/>
      <c r="Q99" s="133"/>
      <c r="R99" s="133"/>
      <c r="S99" s="133"/>
      <c r="T99" s="133"/>
      <c r="U99" s="133"/>
      <c r="V99" s="133"/>
    </row>
    <row r="100" spans="1:22" x14ac:dyDescent="0.2">
      <c r="A100" s="121">
        <v>2368.145751953125</v>
      </c>
      <c r="B100" s="143">
        <v>1.3172385375719642</v>
      </c>
      <c r="C100" s="126">
        <f t="shared" si="0"/>
        <v>1.264198821185728</v>
      </c>
      <c r="D100" s="126">
        <f t="shared" si="1"/>
        <v>0.82449096375320152</v>
      </c>
      <c r="E100" s="126">
        <f t="shared" si="2"/>
        <v>0.81846418878867988</v>
      </c>
      <c r="F100" s="126">
        <f t="shared" si="3"/>
        <v>9.646517785480313E-3</v>
      </c>
      <c r="G100" s="126"/>
      <c r="H100" s="27"/>
      <c r="I100" s="123"/>
      <c r="J100" s="123"/>
      <c r="K100" s="123"/>
      <c r="L100" s="123"/>
      <c r="M100" s="123"/>
      <c r="N100" s="13"/>
      <c r="O100" s="11"/>
      <c r="P100" s="112"/>
      <c r="Q100" s="133"/>
      <c r="R100" s="133"/>
      <c r="S100" s="133"/>
      <c r="T100" s="133"/>
      <c r="U100" s="133"/>
      <c r="V100" s="133"/>
    </row>
    <row r="101" spans="1:22" x14ac:dyDescent="0.2">
      <c r="A101" s="121">
        <v>2588.4326171875</v>
      </c>
      <c r="B101" s="143">
        <v>1.3314385375719642</v>
      </c>
      <c r="C101" s="126">
        <f t="shared" si="0"/>
        <v>1.278398821185728</v>
      </c>
      <c r="D101" s="126">
        <f t="shared" si="1"/>
        <v>0.83337908185129184</v>
      </c>
      <c r="E101" s="126">
        <f t="shared" si="2"/>
        <v>0.82765751446343283</v>
      </c>
      <c r="F101" s="126">
        <f t="shared" si="3"/>
        <v>9.1933256747529501E-3</v>
      </c>
      <c r="G101" s="126"/>
      <c r="H101" s="27"/>
      <c r="I101" s="123"/>
      <c r="J101" s="123"/>
      <c r="K101" s="123"/>
      <c r="L101" s="123"/>
      <c r="M101" s="123"/>
      <c r="N101" s="13"/>
      <c r="O101" s="11"/>
      <c r="P101" s="112"/>
      <c r="Q101" s="133"/>
      <c r="R101" s="133"/>
      <c r="S101" s="133"/>
      <c r="T101" s="133"/>
      <c r="U101" s="133"/>
      <c r="V101" s="133"/>
    </row>
    <row r="102" spans="1:22" x14ac:dyDescent="0.2">
      <c r="A102" s="121">
        <v>2827.96240234375</v>
      </c>
      <c r="B102" s="143">
        <v>1.3452385375719642</v>
      </c>
      <c r="C102" s="126">
        <f t="shared" si="0"/>
        <v>1.292198821185728</v>
      </c>
      <c r="D102" s="126">
        <f t="shared" si="1"/>
        <v>0.84201683042549236</v>
      </c>
      <c r="E102" s="126">
        <f t="shared" si="2"/>
        <v>0.83659187321777029</v>
      </c>
      <c r="F102" s="126">
        <f t="shared" si="3"/>
        <v>8.934358754337457E-3</v>
      </c>
      <c r="G102" s="126"/>
      <c r="H102" s="27"/>
      <c r="I102" s="123"/>
      <c r="J102" s="123"/>
      <c r="K102" s="123"/>
      <c r="L102" s="123"/>
      <c r="M102" s="123"/>
      <c r="N102" s="13"/>
      <c r="O102" s="11"/>
      <c r="P102" s="112"/>
      <c r="Q102" s="133"/>
      <c r="R102" s="133"/>
      <c r="S102" s="133"/>
      <c r="T102" s="133"/>
      <c r="U102" s="133"/>
      <c r="V102" s="133"/>
    </row>
    <row r="103" spans="1:22" x14ac:dyDescent="0.2">
      <c r="A103" s="121">
        <v>3098.44970703125</v>
      </c>
      <c r="B103" s="143">
        <v>1.3594385375719642</v>
      </c>
      <c r="C103" s="126">
        <f t="shared" si="0"/>
        <v>1.306398821185728</v>
      </c>
      <c r="D103" s="126">
        <f t="shared" si="1"/>
        <v>0.85090494852358278</v>
      </c>
      <c r="E103" s="126">
        <f t="shared" si="2"/>
        <v>0.84578519889252335</v>
      </c>
      <c r="F103" s="126">
        <f t="shared" si="3"/>
        <v>9.1933256747530612E-3</v>
      </c>
      <c r="G103" s="126"/>
      <c r="H103" s="27"/>
      <c r="I103" s="123"/>
      <c r="J103" s="123"/>
      <c r="K103" s="123"/>
      <c r="L103" s="123"/>
      <c r="M103" s="123"/>
      <c r="N103" s="13"/>
      <c r="O103" s="11"/>
      <c r="P103" s="112"/>
      <c r="Q103" s="133"/>
      <c r="R103" s="133"/>
      <c r="S103" s="133"/>
      <c r="T103" s="133"/>
      <c r="U103" s="133"/>
      <c r="V103" s="133"/>
    </row>
    <row r="104" spans="1:22" x14ac:dyDescent="0.2">
      <c r="A104" s="121">
        <v>3388.340087890625</v>
      </c>
      <c r="B104" s="143">
        <v>1.3726385375719643</v>
      </c>
      <c r="C104" s="126">
        <f t="shared" si="0"/>
        <v>1.3195988211857281</v>
      </c>
      <c r="D104" s="126">
        <f t="shared" si="1"/>
        <v>0.8591671428119485</v>
      </c>
      <c r="E104" s="126">
        <f t="shared" si="2"/>
        <v>0.85433110726623751</v>
      </c>
      <c r="F104" s="126">
        <f t="shared" si="3"/>
        <v>8.5459083737141617E-3</v>
      </c>
      <c r="G104" s="126"/>
      <c r="H104" s="27"/>
      <c r="I104" s="123"/>
      <c r="J104" s="123"/>
      <c r="K104" s="123"/>
      <c r="L104" s="123"/>
      <c r="M104" s="123"/>
      <c r="N104" s="13"/>
      <c r="O104" s="11"/>
      <c r="P104" s="112"/>
      <c r="Q104" s="133"/>
      <c r="R104" s="133"/>
      <c r="S104" s="133"/>
      <c r="T104" s="133"/>
      <c r="U104" s="133"/>
      <c r="V104" s="133"/>
    </row>
    <row r="105" spans="1:22" x14ac:dyDescent="0.2">
      <c r="A105" s="121">
        <v>3709.292724609375</v>
      </c>
      <c r="B105" s="143">
        <v>1.3857385375719642</v>
      </c>
      <c r="C105" s="126">
        <f t="shared" si="0"/>
        <v>1.332698821185728</v>
      </c>
      <c r="D105" s="126">
        <f t="shared" si="1"/>
        <v>0.86736674471934161</v>
      </c>
      <c r="E105" s="126">
        <f t="shared" si="2"/>
        <v>0.8628122739098476</v>
      </c>
      <c r="F105" s="126">
        <f t="shared" si="3"/>
        <v>8.4811666436100941E-3</v>
      </c>
      <c r="G105" s="126"/>
      <c r="H105" s="27"/>
      <c r="I105" s="123"/>
      <c r="J105" s="123"/>
      <c r="K105" s="123"/>
      <c r="L105" s="123"/>
      <c r="M105" s="123"/>
      <c r="N105" s="13"/>
      <c r="O105" s="11"/>
      <c r="P105" s="112"/>
      <c r="Q105" s="133"/>
      <c r="R105" s="133"/>
      <c r="S105" s="133"/>
      <c r="T105" s="133"/>
      <c r="U105" s="133"/>
      <c r="V105" s="133"/>
    </row>
    <row r="106" spans="1:22" x14ac:dyDescent="0.2">
      <c r="A106" s="121">
        <v>4057.572509765625</v>
      </c>
      <c r="B106" s="143">
        <v>1.3986385375719643</v>
      </c>
      <c r="C106" s="126">
        <f t="shared" si="0"/>
        <v>1.3455988211857282</v>
      </c>
      <c r="D106" s="126">
        <f t="shared" si="1"/>
        <v>0.87544116186479004</v>
      </c>
      <c r="E106" s="126">
        <f t="shared" si="2"/>
        <v>0.87116395709325001</v>
      </c>
      <c r="F106" s="126">
        <f t="shared" si="3"/>
        <v>8.351683183402403E-3</v>
      </c>
      <c r="G106" s="126"/>
      <c r="H106" s="27"/>
      <c r="I106" s="123"/>
      <c r="J106" s="123"/>
      <c r="K106" s="123"/>
      <c r="L106" s="123"/>
      <c r="M106" s="123"/>
      <c r="N106" s="13"/>
      <c r="O106" s="11"/>
      <c r="P106" s="112"/>
      <c r="Q106" s="133"/>
      <c r="R106" s="133"/>
      <c r="S106" s="133"/>
      <c r="T106" s="133"/>
      <c r="U106" s="133"/>
      <c r="V106" s="133"/>
    </row>
    <row r="107" spans="1:22" x14ac:dyDescent="0.2">
      <c r="A107" s="121">
        <v>4435.63671875</v>
      </c>
      <c r="B107" s="143">
        <v>1.4117385375719642</v>
      </c>
      <c r="C107" s="126">
        <f t="shared" si="0"/>
        <v>1.358698821185728</v>
      </c>
      <c r="D107" s="126">
        <f t="shared" si="1"/>
        <v>0.88364076377218315</v>
      </c>
      <c r="E107" s="126">
        <f t="shared" si="2"/>
        <v>0.87964512373686021</v>
      </c>
      <c r="F107" s="126">
        <f t="shared" si="3"/>
        <v>8.4811666436102051E-3</v>
      </c>
      <c r="G107" s="126"/>
      <c r="H107" s="27"/>
      <c r="I107" s="123"/>
      <c r="J107" s="123"/>
      <c r="K107" s="123"/>
      <c r="L107" s="123"/>
      <c r="M107" s="123"/>
      <c r="N107" s="13"/>
      <c r="O107" s="11"/>
      <c r="P107" s="112"/>
      <c r="Q107" s="133"/>
      <c r="R107" s="133"/>
      <c r="S107" s="133"/>
      <c r="T107" s="133"/>
      <c r="U107" s="133"/>
      <c r="V107" s="133"/>
    </row>
    <row r="108" spans="1:22" x14ac:dyDescent="0.2">
      <c r="A108" s="121">
        <v>4846.0087890625</v>
      </c>
      <c r="B108" s="143">
        <v>1.4242385375719642</v>
      </c>
      <c r="C108" s="126">
        <f t="shared" si="0"/>
        <v>1.371198821185728</v>
      </c>
      <c r="D108" s="126">
        <f t="shared" si="1"/>
        <v>0.89146481139374156</v>
      </c>
      <c r="E108" s="126">
        <f t="shared" si="2"/>
        <v>0.8877378399998469</v>
      </c>
      <c r="F108" s="126">
        <f t="shared" si="3"/>
        <v>8.0927162629866878E-3</v>
      </c>
      <c r="G108" s="126"/>
      <c r="H108" s="27"/>
      <c r="I108" s="123"/>
      <c r="J108" s="123"/>
      <c r="K108" s="123"/>
      <c r="L108" s="123"/>
      <c r="M108" s="123"/>
      <c r="N108" s="13"/>
      <c r="O108" s="11"/>
      <c r="P108" s="112"/>
      <c r="Q108" s="133"/>
      <c r="R108" s="133"/>
      <c r="S108" s="133"/>
      <c r="T108" s="133"/>
      <c r="U108" s="133"/>
      <c r="V108" s="133"/>
    </row>
    <row r="109" spans="1:22" x14ac:dyDescent="0.2">
      <c r="A109" s="121">
        <v>5306.11669921875</v>
      </c>
      <c r="B109" s="143">
        <v>1.4366385375719641</v>
      </c>
      <c r="C109" s="126">
        <f t="shared" si="0"/>
        <v>1.383598821185728</v>
      </c>
      <c r="D109" s="126">
        <f t="shared" si="1"/>
        <v>0.89922626663432748</v>
      </c>
      <c r="E109" s="126">
        <f t="shared" si="2"/>
        <v>0.89576581453272985</v>
      </c>
      <c r="F109" s="126">
        <f t="shared" si="3"/>
        <v>8.0279745328829533E-3</v>
      </c>
      <c r="G109" s="126"/>
      <c r="H109" s="27"/>
      <c r="I109" s="123"/>
      <c r="J109" s="123"/>
      <c r="K109" s="123"/>
      <c r="L109" s="123"/>
      <c r="M109" s="123"/>
      <c r="N109" s="13"/>
      <c r="O109" s="11"/>
      <c r="P109" s="112"/>
      <c r="Q109" s="133"/>
      <c r="R109" s="133"/>
      <c r="S109" s="133"/>
      <c r="T109" s="133"/>
      <c r="U109" s="133"/>
      <c r="V109" s="133"/>
    </row>
    <row r="110" spans="1:22" x14ac:dyDescent="0.2">
      <c r="A110" s="121">
        <v>5807.13818359375</v>
      </c>
      <c r="B110" s="143">
        <v>1.4482385375719642</v>
      </c>
      <c r="C110" s="126">
        <f t="shared" si="0"/>
        <v>1.395198821185728</v>
      </c>
      <c r="D110" s="126">
        <f t="shared" si="1"/>
        <v>0.9064869828271338</v>
      </c>
      <c r="E110" s="126">
        <f t="shared" si="2"/>
        <v>0.9032758552247816</v>
      </c>
      <c r="F110" s="126">
        <f t="shared" si="3"/>
        <v>7.5100406920517448E-3</v>
      </c>
      <c r="G110" s="126"/>
      <c r="H110" s="27"/>
      <c r="I110" s="123"/>
      <c r="J110" s="123"/>
      <c r="K110" s="123"/>
      <c r="L110" s="123"/>
      <c r="M110" s="123"/>
      <c r="N110" s="13"/>
      <c r="O110" s="11"/>
      <c r="P110" s="112"/>
      <c r="Q110" s="133"/>
      <c r="R110" s="133"/>
      <c r="S110" s="133"/>
      <c r="T110" s="133"/>
      <c r="U110" s="133"/>
      <c r="V110" s="133"/>
    </row>
    <row r="111" spans="1:22" x14ac:dyDescent="0.2">
      <c r="A111" s="121">
        <v>6355.36279296875</v>
      </c>
      <c r="B111" s="143">
        <v>1.4602385375719642</v>
      </c>
      <c r="C111" s="126">
        <f t="shared" si="0"/>
        <v>1.407198821185728</v>
      </c>
      <c r="D111" s="126">
        <f t="shared" si="1"/>
        <v>0.91399806854382981</v>
      </c>
      <c r="E111" s="126">
        <f t="shared" si="2"/>
        <v>0.91104486283724895</v>
      </c>
      <c r="F111" s="126">
        <f t="shared" si="3"/>
        <v>7.7690076124673491E-3</v>
      </c>
      <c r="G111" s="126"/>
      <c r="H111" s="27"/>
      <c r="I111" s="123"/>
      <c r="J111" s="123"/>
      <c r="K111" s="123"/>
      <c r="L111" s="123"/>
      <c r="M111" s="123"/>
      <c r="N111" s="13"/>
      <c r="O111" s="11"/>
      <c r="P111" s="112"/>
      <c r="Q111" s="133"/>
      <c r="R111" s="133"/>
      <c r="S111" s="133"/>
      <c r="T111" s="133"/>
      <c r="U111" s="133"/>
      <c r="V111" s="133"/>
    </row>
    <row r="112" spans="1:22" x14ac:dyDescent="0.2">
      <c r="A112" s="121">
        <v>6945.88232421875</v>
      </c>
      <c r="B112" s="143">
        <v>1.4715385375719643</v>
      </c>
      <c r="C112" s="126">
        <f t="shared" si="0"/>
        <v>1.4184988211857281</v>
      </c>
      <c r="D112" s="126">
        <f t="shared" si="1"/>
        <v>0.92107100759371874</v>
      </c>
      <c r="E112" s="126">
        <f t="shared" si="2"/>
        <v>0.91836067833898916</v>
      </c>
      <c r="F112" s="126">
        <f t="shared" si="3"/>
        <v>7.3158155017402082E-3</v>
      </c>
      <c r="G112" s="126"/>
      <c r="H112" s="27"/>
      <c r="I112" s="123"/>
      <c r="J112" s="123"/>
      <c r="K112" s="123"/>
      <c r="L112" s="123"/>
      <c r="M112" s="123"/>
      <c r="N112" s="13"/>
      <c r="O112" s="11"/>
      <c r="P112" s="112"/>
      <c r="Q112" s="133"/>
      <c r="R112" s="133"/>
      <c r="S112" s="133"/>
      <c r="T112" s="133"/>
      <c r="U112" s="133"/>
      <c r="V112" s="133"/>
    </row>
    <row r="113" spans="1:22" x14ac:dyDescent="0.2">
      <c r="A113" s="121">
        <v>7606.41748046875</v>
      </c>
      <c r="B113" s="143">
        <v>1.4821385375719642</v>
      </c>
      <c r="C113" s="126">
        <f t="shared" si="0"/>
        <v>1.4290988211857281</v>
      </c>
      <c r="D113" s="126">
        <f t="shared" si="1"/>
        <v>0.92770579997680025</v>
      </c>
      <c r="E113" s="126">
        <f t="shared" si="2"/>
        <v>0.92522330173000189</v>
      </c>
      <c r="F113" s="126">
        <f t="shared" si="3"/>
        <v>6.8626233910127343E-3</v>
      </c>
      <c r="G113" s="126"/>
      <c r="H113" s="27"/>
      <c r="I113" s="123"/>
      <c r="J113" s="123"/>
      <c r="K113" s="123"/>
      <c r="L113" s="123"/>
      <c r="M113" s="123"/>
      <c r="N113" s="13"/>
      <c r="O113" s="11"/>
      <c r="P113" s="112"/>
      <c r="Q113" s="133"/>
      <c r="R113" s="133"/>
      <c r="S113" s="133"/>
      <c r="T113" s="133"/>
      <c r="U113" s="133"/>
      <c r="V113" s="133"/>
    </row>
    <row r="114" spans="1:22" x14ac:dyDescent="0.2">
      <c r="A114" s="121">
        <v>8315.8310546875</v>
      </c>
      <c r="B114" s="143">
        <v>1.4924385375719642</v>
      </c>
      <c r="C114" s="126">
        <f t="shared" si="0"/>
        <v>1.439398821185728</v>
      </c>
      <c r="D114" s="126">
        <f t="shared" si="1"/>
        <v>0.93415281521696436</v>
      </c>
      <c r="E114" s="126">
        <f t="shared" si="2"/>
        <v>0.93189169993070298</v>
      </c>
      <c r="F114" s="126">
        <f t="shared" si="3"/>
        <v>6.6683982007010867E-3</v>
      </c>
      <c r="G114" s="126"/>
      <c r="H114" s="27"/>
      <c r="I114" s="123"/>
      <c r="J114" s="123"/>
      <c r="K114" s="123"/>
      <c r="L114" s="123"/>
      <c r="M114" s="123"/>
      <c r="N114" s="13"/>
      <c r="O114" s="11"/>
      <c r="P114" s="112"/>
      <c r="Q114" s="133"/>
      <c r="R114" s="133"/>
      <c r="S114" s="133"/>
      <c r="T114" s="133"/>
      <c r="U114" s="133"/>
      <c r="V114" s="133"/>
    </row>
    <row r="115" spans="1:22" x14ac:dyDescent="0.2">
      <c r="A115" s="121">
        <v>9096.13671875</v>
      </c>
      <c r="B115" s="143">
        <v>1.5028385375719642</v>
      </c>
      <c r="C115" s="126">
        <f t="shared" si="0"/>
        <v>1.449798821185728</v>
      </c>
      <c r="D115" s="126">
        <f t="shared" si="1"/>
        <v>0.94066242283810098</v>
      </c>
      <c r="E115" s="126">
        <f t="shared" si="2"/>
        <v>0.93862483986150802</v>
      </c>
      <c r="F115" s="126">
        <f t="shared" si="3"/>
        <v>6.7331399308050432E-3</v>
      </c>
      <c r="G115" s="126"/>
      <c r="H115" s="27"/>
      <c r="I115" s="123"/>
      <c r="J115" s="123"/>
      <c r="K115" s="123"/>
      <c r="L115" s="123"/>
      <c r="M115" s="123"/>
      <c r="N115" s="13"/>
      <c r="O115" s="11"/>
      <c r="P115" s="112"/>
      <c r="Q115" s="133"/>
      <c r="R115" s="133"/>
      <c r="S115" s="133"/>
      <c r="T115" s="133"/>
      <c r="U115" s="133"/>
      <c r="V115" s="133"/>
    </row>
    <row r="116" spans="1:22" x14ac:dyDescent="0.2">
      <c r="A116" s="121">
        <v>9956.1669921875</v>
      </c>
      <c r="B116" s="143">
        <v>1.5112385375719641</v>
      </c>
      <c r="C116" s="126">
        <f t="shared" si="0"/>
        <v>1.458198821185728</v>
      </c>
      <c r="D116" s="126">
        <f t="shared" si="1"/>
        <v>0.94592018283978818</v>
      </c>
      <c r="E116" s="126">
        <f t="shared" si="2"/>
        <v>0.94406314519023515</v>
      </c>
      <c r="F116" s="126">
        <f t="shared" si="3"/>
        <v>5.4383053287271332E-3</v>
      </c>
      <c r="G116" s="126"/>
      <c r="H116" s="27"/>
      <c r="I116" s="123"/>
      <c r="J116" s="123"/>
      <c r="K116" s="123"/>
      <c r="L116" s="123"/>
      <c r="M116" s="123"/>
      <c r="N116" s="13"/>
      <c r="O116" s="11"/>
      <c r="P116" s="112"/>
      <c r="Q116" s="133"/>
      <c r="R116" s="133"/>
      <c r="S116" s="133"/>
      <c r="T116" s="133"/>
      <c r="U116" s="133"/>
      <c r="V116" s="133"/>
    </row>
    <row r="117" spans="1:22" x14ac:dyDescent="0.2">
      <c r="A117" s="121">
        <v>10896.220703125</v>
      </c>
      <c r="B117" s="143">
        <v>1.5199385375719643</v>
      </c>
      <c r="C117" s="126">
        <f t="shared" si="0"/>
        <v>1.4668988211857281</v>
      </c>
      <c r="D117" s="126">
        <f t="shared" si="1"/>
        <v>0.9513657199843929</v>
      </c>
      <c r="E117" s="126">
        <f t="shared" si="2"/>
        <v>0.94969567570927405</v>
      </c>
      <c r="F117" s="126">
        <f t="shared" si="3"/>
        <v>5.6325305190388919E-3</v>
      </c>
      <c r="G117" s="126"/>
      <c r="H117" s="27"/>
      <c r="I117" s="123"/>
      <c r="J117" s="123"/>
      <c r="K117" s="123"/>
      <c r="L117" s="123"/>
      <c r="M117" s="123"/>
      <c r="N117" s="13"/>
      <c r="O117" s="11"/>
      <c r="P117" s="112"/>
      <c r="Q117" s="133"/>
      <c r="R117" s="133"/>
      <c r="S117" s="133"/>
      <c r="T117" s="133"/>
      <c r="U117" s="133"/>
      <c r="V117" s="133"/>
    </row>
    <row r="118" spans="1:22" x14ac:dyDescent="0.2">
      <c r="A118" s="121">
        <v>11895.4716796875</v>
      </c>
      <c r="B118" s="143">
        <v>1.5281385375719643</v>
      </c>
      <c r="C118" s="126">
        <f t="shared" si="0"/>
        <v>1.4750988211857281</v>
      </c>
      <c r="D118" s="126">
        <f t="shared" si="1"/>
        <v>0.95649829522413521</v>
      </c>
      <c r="E118" s="126">
        <f t="shared" si="2"/>
        <v>0.95500449757779338</v>
      </c>
      <c r="F118" s="126">
        <f t="shared" si="3"/>
        <v>5.3088218685193311E-3</v>
      </c>
      <c r="G118" s="126"/>
      <c r="H118" s="27"/>
      <c r="I118" s="123"/>
      <c r="J118" s="123"/>
      <c r="K118" s="123"/>
      <c r="L118" s="123"/>
      <c r="M118" s="123"/>
      <c r="N118" s="13"/>
      <c r="O118" s="11"/>
      <c r="P118" s="112"/>
      <c r="Q118" s="133"/>
      <c r="R118" s="133"/>
      <c r="S118" s="133"/>
      <c r="T118" s="133"/>
      <c r="U118" s="133"/>
      <c r="V118" s="133"/>
    </row>
    <row r="119" spans="1:22" x14ac:dyDescent="0.2">
      <c r="A119" s="121">
        <v>12996.0126953125</v>
      </c>
      <c r="B119" s="143">
        <v>1.5354385375719641</v>
      </c>
      <c r="C119" s="126">
        <f t="shared" si="0"/>
        <v>1.482398821185728</v>
      </c>
      <c r="D119" s="126">
        <f t="shared" si="1"/>
        <v>0.96106753903512532</v>
      </c>
      <c r="E119" s="126">
        <f t="shared" si="2"/>
        <v>0.95973064387537765</v>
      </c>
      <c r="F119" s="126">
        <f t="shared" si="3"/>
        <v>4.7261462975842772E-3</v>
      </c>
      <c r="G119" s="126"/>
      <c r="H119" s="27"/>
      <c r="I119" s="123"/>
      <c r="J119" s="123"/>
      <c r="K119" s="123"/>
      <c r="L119" s="123"/>
      <c r="M119" s="123"/>
      <c r="N119" s="13"/>
      <c r="O119" s="11"/>
      <c r="P119" s="112"/>
      <c r="Q119" s="133"/>
      <c r="R119" s="133"/>
      <c r="S119" s="133"/>
      <c r="T119" s="133"/>
      <c r="U119" s="133"/>
      <c r="V119" s="133"/>
    </row>
    <row r="120" spans="1:22" x14ac:dyDescent="0.2">
      <c r="A120" s="121">
        <v>14293.4814453125</v>
      </c>
      <c r="B120" s="143">
        <v>1.5428385375719642</v>
      </c>
      <c r="C120" s="126">
        <f t="shared" si="0"/>
        <v>1.489798821185728</v>
      </c>
      <c r="D120" s="126">
        <f t="shared" si="1"/>
        <v>0.96569937522708793</v>
      </c>
      <c r="E120" s="126">
        <f t="shared" si="2"/>
        <v>0.96452153190306589</v>
      </c>
      <c r="F120" s="126">
        <f t="shared" si="3"/>
        <v>4.7908880276882337E-3</v>
      </c>
      <c r="G120" s="126"/>
      <c r="H120" s="27"/>
      <c r="I120" s="123"/>
      <c r="J120" s="123"/>
      <c r="K120" s="123"/>
      <c r="L120" s="123"/>
      <c r="M120" s="123"/>
      <c r="N120" s="13"/>
      <c r="O120" s="11"/>
      <c r="P120" s="112"/>
      <c r="Q120" s="133"/>
      <c r="R120" s="133"/>
      <c r="S120" s="133"/>
      <c r="T120" s="133"/>
      <c r="U120" s="133"/>
      <c r="V120" s="133"/>
    </row>
    <row r="121" spans="1:22" x14ac:dyDescent="0.2">
      <c r="A121" s="121">
        <v>15595.234375</v>
      </c>
      <c r="B121" s="143">
        <v>1.5498385375719643</v>
      </c>
      <c r="C121" s="126">
        <f t="shared" si="0"/>
        <v>1.4967988211857282</v>
      </c>
      <c r="D121" s="126">
        <f t="shared" si="1"/>
        <v>0.97008084189516075</v>
      </c>
      <c r="E121" s="126">
        <f t="shared" si="2"/>
        <v>0.96905345301033852</v>
      </c>
      <c r="F121" s="126">
        <f t="shared" si="3"/>
        <v>4.5319211072726295E-3</v>
      </c>
      <c r="G121" s="126"/>
      <c r="H121" s="27"/>
      <c r="I121" s="123"/>
      <c r="J121" s="123"/>
      <c r="K121" s="123"/>
      <c r="L121" s="123"/>
      <c r="M121" s="123"/>
      <c r="N121" s="13"/>
      <c r="O121" s="11"/>
      <c r="P121" s="112"/>
      <c r="Q121" s="133"/>
      <c r="R121" s="133"/>
      <c r="S121" s="133"/>
      <c r="T121" s="133"/>
      <c r="U121" s="133"/>
      <c r="V121" s="133"/>
    </row>
    <row r="122" spans="1:22" x14ac:dyDescent="0.2">
      <c r="A122" s="121">
        <v>17094.541015625</v>
      </c>
      <c r="B122" s="143">
        <v>1.5563385375719643</v>
      </c>
      <c r="C122" s="126">
        <f t="shared" si="0"/>
        <v>1.5032988211857281</v>
      </c>
      <c r="D122" s="126">
        <f t="shared" si="1"/>
        <v>0.97414934665837105</v>
      </c>
      <c r="E122" s="126">
        <f t="shared" si="2"/>
        <v>0.9732616654670917</v>
      </c>
      <c r="F122" s="126">
        <f t="shared" si="3"/>
        <v>4.2082124567531798E-3</v>
      </c>
      <c r="G122" s="126"/>
      <c r="H122" s="27"/>
      <c r="I122" s="123"/>
      <c r="J122" s="123"/>
      <c r="K122" s="123"/>
      <c r="L122" s="123"/>
      <c r="M122" s="123"/>
      <c r="N122" s="13"/>
      <c r="O122" s="11"/>
      <c r="P122" s="112"/>
      <c r="Q122" s="133"/>
      <c r="R122" s="133"/>
      <c r="S122" s="133"/>
      <c r="T122" s="133"/>
      <c r="U122" s="133"/>
      <c r="V122" s="133"/>
    </row>
    <row r="123" spans="1:22" x14ac:dyDescent="0.2">
      <c r="A123" s="121">
        <v>18694.4296875</v>
      </c>
      <c r="B123" s="143">
        <v>1.5623385375719643</v>
      </c>
      <c r="C123" s="126">
        <f t="shared" si="0"/>
        <v>1.5092988211857281</v>
      </c>
      <c r="D123" s="126">
        <f t="shared" si="1"/>
        <v>0.97790488951671906</v>
      </c>
      <c r="E123" s="126">
        <f t="shared" si="2"/>
        <v>0.97714616927332532</v>
      </c>
      <c r="F123" s="126">
        <f t="shared" si="3"/>
        <v>3.884503806233619E-3</v>
      </c>
      <c r="G123" s="126"/>
      <c r="H123" s="27"/>
      <c r="I123" s="123"/>
      <c r="J123" s="123"/>
      <c r="K123" s="123"/>
      <c r="L123" s="123"/>
      <c r="M123" s="123"/>
      <c r="N123" s="13"/>
      <c r="O123" s="11"/>
      <c r="P123" s="112"/>
      <c r="Q123" s="133"/>
      <c r="R123" s="133"/>
      <c r="S123" s="133"/>
      <c r="T123" s="133"/>
      <c r="U123" s="133"/>
      <c r="V123" s="133"/>
    </row>
    <row r="124" spans="1:22" x14ac:dyDescent="0.2">
      <c r="A124" s="121">
        <v>20394.126953125</v>
      </c>
      <c r="B124" s="143">
        <v>1.5676385375719641</v>
      </c>
      <c r="C124" s="126">
        <f t="shared" si="0"/>
        <v>1.514598821185728</v>
      </c>
      <c r="D124" s="126">
        <f t="shared" si="1"/>
        <v>0.98122228570825976</v>
      </c>
      <c r="E124" s="126">
        <f t="shared" si="2"/>
        <v>0.98057748096883168</v>
      </c>
      <c r="F124" s="126">
        <f t="shared" si="3"/>
        <v>3.4313116955063672E-3</v>
      </c>
      <c r="G124" s="126"/>
      <c r="H124" s="27"/>
      <c r="I124" s="123"/>
      <c r="J124" s="123"/>
      <c r="K124" s="123"/>
      <c r="L124" s="123"/>
      <c r="M124" s="123"/>
      <c r="N124" s="13"/>
      <c r="O124" s="11"/>
      <c r="P124" s="112"/>
      <c r="Q124" s="133"/>
      <c r="R124" s="133"/>
      <c r="S124" s="133"/>
      <c r="T124" s="133"/>
      <c r="U124" s="133"/>
      <c r="V124" s="133"/>
    </row>
    <row r="125" spans="1:22" x14ac:dyDescent="0.2">
      <c r="A125" s="121">
        <v>22295.181640625</v>
      </c>
      <c r="B125" s="143">
        <v>1.5736385375719641</v>
      </c>
      <c r="C125" s="126">
        <f t="shared" si="0"/>
        <v>1.520598821185728</v>
      </c>
      <c r="D125" s="126">
        <f t="shared" si="1"/>
        <v>0.98497782856660787</v>
      </c>
      <c r="E125" s="126">
        <f t="shared" si="2"/>
        <v>0.9844619847750653</v>
      </c>
      <c r="F125" s="126">
        <f t="shared" si="3"/>
        <v>3.884503806233619E-3</v>
      </c>
      <c r="G125" s="126"/>
      <c r="H125" s="27"/>
      <c r="I125" s="123"/>
      <c r="J125" s="123"/>
      <c r="K125" s="123"/>
      <c r="L125" s="123"/>
      <c r="M125" s="123"/>
      <c r="N125" s="13"/>
      <c r="O125" s="11"/>
      <c r="P125" s="112"/>
      <c r="Q125" s="133"/>
      <c r="R125" s="133"/>
      <c r="S125" s="133"/>
      <c r="T125" s="133"/>
      <c r="U125" s="133"/>
      <c r="V125" s="133"/>
    </row>
    <row r="126" spans="1:22" x14ac:dyDescent="0.2">
      <c r="A126" s="121">
        <v>24395.56640625</v>
      </c>
      <c r="B126" s="143">
        <v>1.5785385375719643</v>
      </c>
      <c r="C126" s="126">
        <f t="shared" si="0"/>
        <v>1.5254988211857281</v>
      </c>
      <c r="D126" s="126">
        <f t="shared" si="1"/>
        <v>0.98804485523425878</v>
      </c>
      <c r="E126" s="126">
        <f t="shared" si="2"/>
        <v>0.98763432955015618</v>
      </c>
      <c r="F126" s="126">
        <f t="shared" si="3"/>
        <v>3.172344775090874E-3</v>
      </c>
      <c r="G126" s="126"/>
      <c r="H126" s="27"/>
      <c r="I126" s="123"/>
      <c r="J126" s="123"/>
      <c r="K126" s="123"/>
      <c r="L126" s="123"/>
      <c r="M126" s="123"/>
      <c r="N126" s="13"/>
      <c r="O126" s="11"/>
      <c r="P126" s="112"/>
      <c r="Q126" s="133"/>
      <c r="R126" s="133"/>
      <c r="S126" s="133"/>
      <c r="T126" s="133"/>
      <c r="U126" s="133"/>
      <c r="V126" s="133"/>
    </row>
    <row r="127" spans="1:22" x14ac:dyDescent="0.2">
      <c r="A127" s="121">
        <v>26696.28125</v>
      </c>
      <c r="B127" s="143">
        <v>1.5821385375719643</v>
      </c>
      <c r="C127" s="126">
        <f t="shared" si="0"/>
        <v>1.5290988211857282</v>
      </c>
      <c r="D127" s="126">
        <f t="shared" si="1"/>
        <v>0.99029818094926769</v>
      </c>
      <c r="E127" s="126">
        <f t="shared" si="2"/>
        <v>0.9899650318338965</v>
      </c>
      <c r="F127" s="126">
        <f t="shared" si="3"/>
        <v>2.3307022837403268E-3</v>
      </c>
      <c r="G127" s="126"/>
      <c r="H127" s="27"/>
      <c r="I127" s="123"/>
      <c r="J127" s="123"/>
      <c r="K127" s="123"/>
      <c r="L127" s="123"/>
      <c r="M127" s="123"/>
      <c r="N127" s="13"/>
      <c r="O127" s="11"/>
      <c r="P127" s="112"/>
      <c r="Q127" s="133"/>
      <c r="R127" s="133"/>
      <c r="S127" s="133"/>
      <c r="T127" s="133"/>
      <c r="U127" s="133"/>
      <c r="V127" s="133"/>
    </row>
    <row r="128" spans="1:22" x14ac:dyDescent="0.2">
      <c r="A128" s="121">
        <v>29295.875</v>
      </c>
      <c r="B128" s="143">
        <v>1.5858385375719641</v>
      </c>
      <c r="C128" s="126">
        <f t="shared" si="0"/>
        <v>1.532798821185728</v>
      </c>
      <c r="D128" s="126">
        <f t="shared" si="1"/>
        <v>0.99261409904524878</v>
      </c>
      <c r="E128" s="126">
        <f t="shared" si="2"/>
        <v>0.99236047584774045</v>
      </c>
      <c r="F128" s="126">
        <f t="shared" si="3"/>
        <v>2.3954440138439503E-3</v>
      </c>
      <c r="G128" s="126"/>
      <c r="H128" s="27"/>
      <c r="I128" s="123"/>
      <c r="J128" s="123"/>
      <c r="K128" s="123"/>
      <c r="L128" s="123"/>
      <c r="M128" s="123"/>
      <c r="N128" s="13"/>
      <c r="O128" s="11"/>
      <c r="P128" s="112"/>
      <c r="Q128" s="133"/>
      <c r="R128" s="133"/>
      <c r="S128" s="133"/>
      <c r="T128" s="133"/>
      <c r="U128" s="133"/>
      <c r="V128" s="133"/>
    </row>
    <row r="129" spans="1:23" x14ac:dyDescent="0.2">
      <c r="A129" s="121">
        <v>31993.05859375</v>
      </c>
      <c r="B129" s="143">
        <v>1.5885385375719643</v>
      </c>
      <c r="C129" s="126">
        <f t="shared" si="0"/>
        <v>1.5354988211857281</v>
      </c>
      <c r="D129" s="126">
        <f t="shared" si="1"/>
        <v>0.99430409333150549</v>
      </c>
      <c r="E129" s="126">
        <f t="shared" si="2"/>
        <v>0.99410850256054573</v>
      </c>
      <c r="F129" s="126">
        <f t="shared" si="3"/>
        <v>1.7480267128052729E-3</v>
      </c>
      <c r="G129" s="126"/>
      <c r="H129" s="27"/>
      <c r="I129" s="123"/>
      <c r="J129" s="123"/>
      <c r="K129" s="123"/>
      <c r="L129" s="123"/>
      <c r="M129" s="123"/>
      <c r="N129" s="13"/>
      <c r="O129" s="11"/>
      <c r="P129" s="112"/>
      <c r="Q129" s="133"/>
      <c r="R129" s="133"/>
      <c r="S129" s="133"/>
      <c r="T129" s="133"/>
      <c r="U129" s="133"/>
      <c r="V129" s="133"/>
    </row>
    <row r="130" spans="1:23" x14ac:dyDescent="0.2">
      <c r="A130" s="121">
        <v>34988.01171875</v>
      </c>
      <c r="B130" s="143">
        <v>1.5909385375719642</v>
      </c>
      <c r="C130" s="126">
        <f t="shared" si="0"/>
        <v>1.5378988211857281</v>
      </c>
      <c r="D130" s="126">
        <f t="shared" si="1"/>
        <v>0.99580631047484469</v>
      </c>
      <c r="E130" s="126">
        <f t="shared" si="2"/>
        <v>0.99566230408303913</v>
      </c>
      <c r="F130" s="126">
        <f t="shared" si="3"/>
        <v>1.5538015224934032E-3</v>
      </c>
      <c r="G130" s="126"/>
      <c r="H130" s="27"/>
      <c r="I130" s="123"/>
      <c r="J130" s="123"/>
      <c r="K130" s="123"/>
      <c r="L130" s="123"/>
      <c r="M130" s="123"/>
      <c r="N130" s="13"/>
      <c r="O130" s="11"/>
      <c r="P130" s="112"/>
      <c r="Q130" s="133"/>
      <c r="R130" s="133"/>
      <c r="S130" s="133"/>
      <c r="T130" s="133"/>
      <c r="U130" s="133"/>
      <c r="V130" s="133"/>
    </row>
    <row r="131" spans="1:23" x14ac:dyDescent="0.2">
      <c r="A131" s="121">
        <v>38288.109375</v>
      </c>
      <c r="B131" s="143">
        <v>1.5930385375719642</v>
      </c>
      <c r="C131" s="126">
        <f t="shared" si="0"/>
        <v>1.5399988211857281</v>
      </c>
      <c r="D131" s="126">
        <f t="shared" si="1"/>
        <v>0.99712075047526649</v>
      </c>
      <c r="E131" s="126">
        <f t="shared" si="2"/>
        <v>0.99702188041522088</v>
      </c>
      <c r="F131" s="126">
        <f t="shared" si="3"/>
        <v>1.3595763321817556E-3</v>
      </c>
      <c r="G131" s="126"/>
      <c r="H131" s="27"/>
      <c r="I131" s="123"/>
      <c r="J131" s="123"/>
      <c r="K131" s="123"/>
      <c r="L131" s="123"/>
      <c r="M131" s="123"/>
      <c r="N131" s="13"/>
      <c r="O131" s="11"/>
      <c r="P131" s="112"/>
      <c r="Q131" s="133"/>
      <c r="R131" s="133"/>
      <c r="S131" s="133"/>
      <c r="T131" s="133"/>
      <c r="U131" s="133"/>
      <c r="V131" s="133"/>
    </row>
    <row r="132" spans="1:23" x14ac:dyDescent="0.2">
      <c r="A132" s="121">
        <v>41879.390625</v>
      </c>
      <c r="B132" s="143">
        <v>1.5945385375719643</v>
      </c>
      <c r="C132" s="126">
        <f t="shared" si="0"/>
        <v>1.5414988211857281</v>
      </c>
      <c r="D132" s="126">
        <f t="shared" si="1"/>
        <v>0.99805963618985361</v>
      </c>
      <c r="E132" s="126">
        <f t="shared" si="2"/>
        <v>0.99799300636677934</v>
      </c>
      <c r="F132" s="126">
        <f t="shared" si="3"/>
        <v>9.7112595155846027E-4</v>
      </c>
      <c r="G132" s="126"/>
      <c r="H132" s="27"/>
      <c r="I132" s="123"/>
      <c r="J132" s="123"/>
      <c r="K132" s="123"/>
      <c r="L132" s="123"/>
      <c r="M132" s="123"/>
      <c r="N132" s="13"/>
      <c r="O132" s="11"/>
      <c r="P132" s="112"/>
      <c r="Q132" s="133"/>
      <c r="R132" s="133"/>
      <c r="S132" s="133"/>
      <c r="T132" s="133"/>
      <c r="U132" s="133"/>
      <c r="V132" s="133"/>
    </row>
    <row r="133" spans="1:23" x14ac:dyDescent="0.2">
      <c r="A133" s="121">
        <v>45776.18359375</v>
      </c>
      <c r="B133" s="143">
        <v>1.5958385375719641</v>
      </c>
      <c r="C133" s="126">
        <f t="shared" si="0"/>
        <v>1.542798821185728</v>
      </c>
      <c r="D133" s="126">
        <f t="shared" si="1"/>
        <v>0.9988733371424956</v>
      </c>
      <c r="E133" s="126">
        <f t="shared" si="2"/>
        <v>0.99883464885812989</v>
      </c>
      <c r="F133" s="126">
        <f t="shared" si="3"/>
        <v>8.4164249135054714E-4</v>
      </c>
      <c r="G133" s="126"/>
      <c r="H133" s="27"/>
      <c r="I133" s="123"/>
      <c r="J133" s="123"/>
      <c r="K133" s="123"/>
      <c r="L133" s="123"/>
      <c r="M133" s="123"/>
      <c r="N133" s="13"/>
      <c r="O133" s="11"/>
      <c r="P133" s="112"/>
      <c r="Q133" s="133"/>
      <c r="R133" s="133"/>
      <c r="S133" s="133"/>
      <c r="T133" s="133"/>
      <c r="U133" s="133"/>
      <c r="V133" s="133"/>
    </row>
    <row r="134" spans="1:23" x14ac:dyDescent="0.2">
      <c r="A134" s="121">
        <v>50071.6796875</v>
      </c>
      <c r="B134" s="143">
        <v>1.5976385375719642</v>
      </c>
      <c r="C134" s="126">
        <f t="shared" si="0"/>
        <v>1.544598821185728</v>
      </c>
      <c r="D134" s="126">
        <f t="shared" si="1"/>
        <v>1</v>
      </c>
      <c r="E134" s="126">
        <f t="shared" si="2"/>
        <v>1</v>
      </c>
      <c r="F134" s="126">
        <f t="shared" si="3"/>
        <v>1.1653511418701079E-3</v>
      </c>
      <c r="G134" s="126"/>
      <c r="H134" s="27"/>
      <c r="I134" s="123"/>
      <c r="J134" s="123"/>
      <c r="K134" s="123"/>
      <c r="L134" s="123"/>
      <c r="M134" s="123"/>
      <c r="N134" s="13"/>
      <c r="O134" s="11"/>
      <c r="P134" s="112"/>
      <c r="Q134" s="133"/>
      <c r="R134" s="133"/>
      <c r="S134" s="133"/>
      <c r="T134" s="133"/>
      <c r="U134" s="133"/>
      <c r="V134" s="133"/>
    </row>
    <row r="135" spans="1:23" x14ac:dyDescent="0.2">
      <c r="A135" s="121">
        <v>54767.33984375</v>
      </c>
      <c r="B135" s="143">
        <v>1.5976385375719642</v>
      </c>
      <c r="C135" s="126">
        <f t="shared" si="0"/>
        <v>1.544598821185728</v>
      </c>
      <c r="D135" s="126">
        <f t="shared" si="1"/>
        <v>1</v>
      </c>
      <c r="E135" s="126">
        <f t="shared" si="2"/>
        <v>1</v>
      </c>
      <c r="F135" s="126">
        <f t="shared" si="3"/>
        <v>0</v>
      </c>
      <c r="G135" s="126"/>
      <c r="H135" s="27"/>
      <c r="I135" s="123"/>
      <c r="J135" s="123"/>
      <c r="K135" s="123"/>
      <c r="L135" s="123"/>
      <c r="M135" s="123"/>
      <c r="N135" s="13"/>
      <c r="O135" s="11"/>
      <c r="P135" s="112"/>
      <c r="Q135" s="133"/>
      <c r="R135" s="133"/>
      <c r="S135" s="133"/>
      <c r="T135" s="133"/>
      <c r="U135" s="133"/>
      <c r="V135" s="133"/>
    </row>
    <row r="136" spans="1:23" x14ac:dyDescent="0.2">
      <c r="A136" s="121">
        <v>59445.21875</v>
      </c>
      <c r="B136" s="143">
        <v>1.5976385375719642</v>
      </c>
      <c r="C136" s="126">
        <f t="shared" si="0"/>
        <v>1.544598821185728</v>
      </c>
      <c r="D136" s="126">
        <f t="shared" si="1"/>
        <v>1</v>
      </c>
      <c r="E136" s="126">
        <f t="shared" si="2"/>
        <v>1</v>
      </c>
      <c r="F136" s="126">
        <f t="shared" si="3"/>
        <v>0</v>
      </c>
      <c r="G136" s="126"/>
      <c r="H136" s="105"/>
      <c r="I136" s="121"/>
      <c r="J136" s="121"/>
      <c r="K136" s="121"/>
      <c r="L136" s="121"/>
      <c r="M136" s="121"/>
      <c r="P136" s="112"/>
      <c r="Q136" s="133"/>
      <c r="R136" s="133"/>
      <c r="S136" s="133"/>
      <c r="T136" s="133"/>
      <c r="U136" s="133"/>
      <c r="V136" s="133"/>
    </row>
    <row r="137" spans="1:23" x14ac:dyDescent="0.2">
      <c r="A137" s="121"/>
      <c r="B137" s="143"/>
      <c r="C137" s="126"/>
      <c r="D137" s="126"/>
      <c r="E137" s="126"/>
      <c r="F137" s="126"/>
      <c r="G137" s="126"/>
      <c r="H137" s="105"/>
      <c r="I137" s="121"/>
      <c r="J137" s="121"/>
      <c r="K137" s="121"/>
      <c r="L137" s="121"/>
      <c r="M137" s="121"/>
      <c r="P137" s="35"/>
      <c r="Q137" s="133"/>
      <c r="R137" s="133"/>
      <c r="S137" s="133"/>
      <c r="T137" s="133"/>
      <c r="U137" s="133"/>
      <c r="V137" s="133"/>
    </row>
    <row r="138" spans="1:23" x14ac:dyDescent="0.2">
      <c r="A138" s="121"/>
      <c r="B138" s="143"/>
      <c r="C138" s="126"/>
      <c r="D138" s="126"/>
      <c r="E138" s="126"/>
      <c r="F138" s="126"/>
      <c r="G138" s="126"/>
      <c r="H138" s="105"/>
      <c r="I138" s="121"/>
      <c r="J138" s="121"/>
      <c r="K138" s="121"/>
      <c r="L138" s="121"/>
      <c r="M138" s="121"/>
      <c r="P138" s="35"/>
      <c r="Q138" s="133"/>
      <c r="R138" s="133"/>
      <c r="S138" s="133"/>
      <c r="T138" s="133"/>
      <c r="U138" s="133"/>
      <c r="V138" s="133"/>
    </row>
    <row r="139" spans="1:23" x14ac:dyDescent="0.2">
      <c r="A139" s="121"/>
      <c r="B139" s="143"/>
      <c r="C139" s="126"/>
      <c r="D139" s="126"/>
      <c r="E139" s="126"/>
      <c r="F139" s="126"/>
      <c r="G139" s="126"/>
      <c r="H139" s="105"/>
      <c r="I139" s="121"/>
      <c r="J139" s="121"/>
      <c r="K139" s="121"/>
      <c r="L139" s="121"/>
      <c r="M139" s="121"/>
      <c r="P139" s="35"/>
      <c r="Q139" s="133"/>
      <c r="R139" s="133"/>
      <c r="S139" s="133"/>
      <c r="T139" s="133"/>
      <c r="U139" s="133"/>
      <c r="V139" s="133"/>
    </row>
    <row r="140" spans="1:23" x14ac:dyDescent="0.2">
      <c r="A140" s="121"/>
      <c r="B140" s="143"/>
      <c r="C140" s="126"/>
      <c r="D140" s="126"/>
      <c r="E140" s="126"/>
      <c r="F140" s="126"/>
      <c r="G140" s="126"/>
      <c r="H140" s="105"/>
      <c r="I140" s="121"/>
      <c r="J140" s="121"/>
      <c r="K140" s="121"/>
      <c r="L140" s="121"/>
      <c r="M140" s="121"/>
      <c r="P140" s="35"/>
      <c r="Q140" s="133"/>
      <c r="R140" s="133"/>
      <c r="S140" s="133"/>
      <c r="T140" s="133"/>
      <c r="U140" s="133"/>
      <c r="V140" s="133"/>
    </row>
    <row r="141" spans="1:23" x14ac:dyDescent="0.2">
      <c r="A141" s="121"/>
      <c r="B141" s="143"/>
      <c r="C141" s="126"/>
      <c r="D141" s="126"/>
      <c r="E141" s="126"/>
      <c r="F141" s="126"/>
      <c r="G141" s="126"/>
      <c r="H141" s="126"/>
      <c r="I141" s="126"/>
      <c r="J141" s="126"/>
      <c r="K141" s="126"/>
      <c r="L141" s="126"/>
      <c r="M141" s="126"/>
      <c r="N141" s="126"/>
      <c r="O141" s="105"/>
      <c r="P141" s="121"/>
      <c r="Q141" s="121"/>
      <c r="R141" s="121"/>
      <c r="S141" s="121"/>
      <c r="T141" s="121"/>
      <c r="W141" s="35"/>
    </row>
  </sheetData>
  <mergeCells count="7">
    <mergeCell ref="A5:M5"/>
    <mergeCell ref="I32:J32"/>
    <mergeCell ref="I33:J33"/>
    <mergeCell ref="I34:J34"/>
    <mergeCell ref="K32:L32"/>
    <mergeCell ref="K33:L33"/>
    <mergeCell ref="K34:L34"/>
  </mergeCells>
  <printOptions horizontalCentered="1"/>
  <pageMargins left="0.5" right="0.5" top="0.1" bottom="0.25" header="0" footer="0"/>
  <pageSetup scale="65" orientation="portrait"/>
  <rowBreaks count="2" manualBreakCount="2">
    <brk id="86" max="12" man="1"/>
    <brk id="162" max="12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workbookViewId="0">
      <selection activeCell="O4" sqref="O4"/>
    </sheetView>
  </sheetViews>
  <sheetFormatPr defaultColWidth="8.85546875" defaultRowHeight="12.75" x14ac:dyDescent="0.2"/>
  <cols>
    <col min="1" max="17" width="8.140625" style="45" customWidth="1"/>
    <col min="18" max="16384" width="8.85546875" style="45"/>
  </cols>
  <sheetData>
    <row r="1" spans="1:15" ht="15.75" x14ac:dyDescent="0.25">
      <c r="C1" s="160" t="s">
        <v>11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85"/>
      <c r="O1" s="85"/>
    </row>
    <row r="2" spans="1:15" x14ac:dyDescent="0.2">
      <c r="C2" s="159" t="str">
        <f>Table!A7</f>
        <v>NordAq Energy Inc.</v>
      </c>
      <c r="K2" s="151" t="str">
        <f>Table!L7</f>
        <v>Sample Number:</v>
      </c>
      <c r="N2" s="30"/>
      <c r="O2" s="152" t="str">
        <f>Table!$P$7</f>
        <v>7</v>
      </c>
    </row>
    <row r="3" spans="1:15" x14ac:dyDescent="0.2">
      <c r="C3" s="159" t="str">
        <f>Table!A8</f>
        <v>East Simpson No. 2 (USGS/Husky 1980)</v>
      </c>
      <c r="K3" s="151" t="str">
        <f>Table!L8</f>
        <v>Sample Depth, m:</v>
      </c>
      <c r="N3" s="69"/>
      <c r="O3" s="96">
        <f>Table!$P$8</f>
        <v>6069.2</v>
      </c>
    </row>
    <row r="4" spans="1:15" x14ac:dyDescent="0.2">
      <c r="C4" s="159" t="str">
        <f>Table!A9</f>
        <v>Torok Sandstones Formation</v>
      </c>
      <c r="K4" s="151" t="str">
        <f>Table!L9</f>
        <v>Permeability to Air (calc), mD:</v>
      </c>
      <c r="M4" s="46"/>
      <c r="N4" s="135"/>
      <c r="O4" s="43">
        <f>Table!$P$9</f>
        <v>1.0990210793031179</v>
      </c>
    </row>
    <row r="5" spans="1:15" x14ac:dyDescent="0.2">
      <c r="C5" s="159" t="str">
        <f>Table!A10</f>
        <v>HH-61176</v>
      </c>
      <c r="D5" s="87"/>
      <c r="E5" s="87"/>
      <c r="F5" s="43"/>
      <c r="G5" s="87"/>
      <c r="K5" s="151" t="str">
        <f>Table!L10</f>
        <v>Porosity, fraction:</v>
      </c>
      <c r="M5" s="46"/>
      <c r="N5" s="135"/>
      <c r="O5" s="117">
        <f>Table!$P$10</f>
        <v>0.14002059360133434</v>
      </c>
    </row>
    <row r="6" spans="1:15" x14ac:dyDescent="0.2">
      <c r="A6" s="46"/>
      <c r="C6" s="159"/>
      <c r="D6" s="62"/>
      <c r="E6" s="62"/>
      <c r="F6" s="62"/>
      <c r="G6" s="46"/>
      <c r="K6" s="151" t="str">
        <f>Table!L11</f>
        <v>Grain Density, grams/cc:</v>
      </c>
      <c r="M6" s="62"/>
      <c r="N6" s="145"/>
      <c r="O6" s="43">
        <f>Table!$P$11</f>
        <v>2.6797722054266497</v>
      </c>
    </row>
    <row r="7" spans="1:15" x14ac:dyDescent="0.2">
      <c r="B7" s="159"/>
      <c r="D7" s="46"/>
      <c r="E7" s="46"/>
      <c r="I7" s="151"/>
      <c r="K7" s="62"/>
      <c r="L7" s="20"/>
      <c r="M7" s="24"/>
    </row>
    <row r="8" spans="1:15" x14ac:dyDescent="0.2">
      <c r="B8" s="159"/>
      <c r="D8" s="46"/>
      <c r="E8" s="46"/>
      <c r="I8" s="151"/>
      <c r="K8" s="62"/>
      <c r="L8" s="20"/>
      <c r="M8" s="24"/>
    </row>
    <row r="9" spans="1:15" ht="12" customHeight="1" x14ac:dyDescent="0.2">
      <c r="B9" s="46"/>
      <c r="C9" s="46"/>
      <c r="D9" s="46"/>
      <c r="E9" s="46"/>
      <c r="F9" s="46"/>
    </row>
    <row r="10" spans="1:15" x14ac:dyDescent="0.2">
      <c r="B10" s="46"/>
      <c r="C10" s="46"/>
      <c r="D10" s="46"/>
      <c r="E10" s="46"/>
      <c r="F10" s="46"/>
      <c r="K10" s="62"/>
      <c r="L10" s="20"/>
    </row>
    <row r="11" spans="1:15" x14ac:dyDescent="0.2">
      <c r="B11" s="46"/>
      <c r="C11" s="46"/>
      <c r="D11" s="62"/>
      <c r="E11" s="46"/>
      <c r="F11" s="46"/>
      <c r="K11" s="62"/>
      <c r="L11" s="20"/>
    </row>
    <row r="12" spans="1:15" x14ac:dyDescent="0.2">
      <c r="B12" s="46"/>
      <c r="C12" s="46"/>
      <c r="D12" s="62"/>
      <c r="E12" s="46"/>
      <c r="F12" s="46"/>
      <c r="G12" s="151"/>
      <c r="H12" s="46"/>
      <c r="I12" s="46"/>
      <c r="J12" s="117"/>
      <c r="K12" s="62"/>
      <c r="L12" s="20"/>
    </row>
    <row r="13" spans="1:15" x14ac:dyDescent="0.2">
      <c r="A13" s="159"/>
      <c r="B13" s="46"/>
      <c r="C13" s="46"/>
      <c r="D13" s="46"/>
      <c r="E13" s="46"/>
      <c r="F13" s="46"/>
      <c r="G13" s="46"/>
      <c r="H13" s="46"/>
      <c r="I13" s="135"/>
      <c r="J13" s="62"/>
      <c r="K13" s="62"/>
      <c r="L13" s="20"/>
    </row>
    <row r="14" spans="1:15" x14ac:dyDescent="0.2">
      <c r="A14" s="78"/>
      <c r="B14" s="78"/>
      <c r="C14" s="78"/>
      <c r="D14" s="78"/>
      <c r="E14" s="78"/>
      <c r="F14" s="78"/>
      <c r="G14" s="78"/>
      <c r="H14" s="78"/>
      <c r="I14" s="78"/>
      <c r="J14" s="78"/>
      <c r="K14" s="62"/>
      <c r="L14" s="20"/>
    </row>
    <row r="15" spans="1:15" x14ac:dyDescent="0.2">
      <c r="A15" s="78"/>
      <c r="B15" s="78"/>
      <c r="C15" s="78"/>
      <c r="D15" s="78"/>
      <c r="E15" s="78"/>
      <c r="F15" s="78"/>
      <c r="G15" s="78"/>
      <c r="H15" s="78"/>
      <c r="I15" s="78"/>
      <c r="J15" s="78"/>
      <c r="K15" s="46"/>
      <c r="L15" s="20"/>
    </row>
    <row r="16" spans="1:15" x14ac:dyDescent="0.2">
      <c r="A16" s="78"/>
      <c r="B16" s="78"/>
      <c r="C16" s="78"/>
      <c r="D16" s="78"/>
      <c r="E16" s="78"/>
      <c r="F16" s="78"/>
      <c r="G16" s="78"/>
      <c r="H16" s="78"/>
      <c r="I16" s="78"/>
      <c r="J16" s="78"/>
      <c r="K16" s="46"/>
      <c r="L16" s="20"/>
    </row>
    <row r="17" spans="1:12" x14ac:dyDescent="0.2">
      <c r="A17" s="146"/>
      <c r="B17" s="146"/>
      <c r="C17" s="146"/>
      <c r="D17" s="146"/>
      <c r="E17" s="146"/>
      <c r="F17" s="146"/>
      <c r="G17" s="146"/>
      <c r="H17" s="146"/>
      <c r="I17" s="146"/>
      <c r="J17" s="146"/>
      <c r="K17" s="46"/>
      <c r="L17" s="112"/>
    </row>
    <row r="18" spans="1:12" x14ac:dyDescent="0.2">
      <c r="A18" s="35"/>
      <c r="B18" s="64"/>
      <c r="C18" s="64"/>
      <c r="D18" s="65"/>
      <c r="E18" s="147"/>
      <c r="F18" s="54"/>
      <c r="G18" s="54"/>
      <c r="H18" s="54"/>
      <c r="I18" s="54"/>
      <c r="J18" s="54"/>
      <c r="K18" s="46"/>
      <c r="L18" s="112"/>
    </row>
    <row r="19" spans="1:12" x14ac:dyDescent="0.2">
      <c r="A19" s="148"/>
      <c r="B19" s="64"/>
      <c r="C19" s="64"/>
      <c r="D19" s="65"/>
      <c r="E19" s="147"/>
      <c r="F19" s="54"/>
      <c r="G19" s="54"/>
      <c r="H19" s="54"/>
      <c r="I19" s="54"/>
      <c r="J19" s="54"/>
      <c r="K19" s="46"/>
      <c r="L19" s="112"/>
    </row>
    <row r="20" spans="1:12" x14ac:dyDescent="0.2">
      <c r="A20" s="148"/>
      <c r="B20" s="64"/>
      <c r="C20" s="64"/>
      <c r="D20" s="65"/>
      <c r="E20" s="147"/>
      <c r="F20" s="54"/>
      <c r="G20" s="54"/>
      <c r="H20" s="54"/>
      <c r="I20" s="54"/>
      <c r="J20" s="54"/>
      <c r="K20" s="46"/>
      <c r="L20" s="146"/>
    </row>
    <row r="21" spans="1:12" x14ac:dyDescent="0.2">
      <c r="A21" s="148"/>
      <c r="B21" s="64"/>
      <c r="C21" s="64"/>
      <c r="D21" s="65"/>
      <c r="E21" s="147"/>
      <c r="F21" s="54"/>
      <c r="G21" s="54"/>
      <c r="H21" s="54"/>
      <c r="I21" s="54"/>
      <c r="J21" s="54"/>
      <c r="K21" s="46"/>
      <c r="L21" s="26"/>
    </row>
    <row r="22" spans="1:12" x14ac:dyDescent="0.2">
      <c r="A22" s="148"/>
      <c r="B22" s="64"/>
      <c r="C22" s="64"/>
      <c r="D22" s="65"/>
      <c r="E22" s="147"/>
      <c r="F22" s="54"/>
      <c r="G22" s="54"/>
      <c r="H22" s="54"/>
      <c r="I22" s="54"/>
      <c r="J22" s="54"/>
      <c r="K22" s="46"/>
      <c r="L22" s="26"/>
    </row>
    <row r="23" spans="1:12" x14ac:dyDescent="0.2">
      <c r="A23" s="148"/>
      <c r="B23" s="64"/>
      <c r="C23" s="64"/>
      <c r="D23" s="65"/>
      <c r="E23" s="147"/>
      <c r="F23" s="54"/>
      <c r="G23" s="54"/>
      <c r="H23" s="54"/>
      <c r="I23" s="54"/>
      <c r="J23" s="54"/>
      <c r="K23" s="46"/>
      <c r="L23" s="26"/>
    </row>
    <row r="24" spans="1:12" x14ac:dyDescent="0.2">
      <c r="A24" s="102"/>
      <c r="B24" s="64"/>
      <c r="C24" s="64"/>
      <c r="D24" s="65"/>
      <c r="E24" s="147"/>
      <c r="F24" s="54"/>
      <c r="G24" s="54"/>
      <c r="H24" s="54"/>
      <c r="I24" s="54"/>
      <c r="J24" s="54"/>
      <c r="K24" s="46"/>
      <c r="L24" s="26"/>
    </row>
    <row r="25" spans="1:12" x14ac:dyDescent="0.2">
      <c r="A25" s="102"/>
      <c r="B25" s="64"/>
      <c r="C25" s="64"/>
      <c r="D25" s="65"/>
      <c r="E25" s="147"/>
      <c r="F25" s="54"/>
      <c r="G25" s="54"/>
      <c r="H25" s="54"/>
      <c r="I25" s="54"/>
      <c r="J25" s="54"/>
      <c r="K25" s="46"/>
      <c r="L25" s="26"/>
    </row>
    <row r="26" spans="1:12" x14ac:dyDescent="0.2">
      <c r="A26" s="102"/>
      <c r="B26" s="64"/>
      <c r="C26" s="64"/>
      <c r="D26" s="65"/>
      <c r="E26" s="147"/>
      <c r="F26" s="54"/>
      <c r="G26" s="54"/>
      <c r="H26" s="54"/>
      <c r="I26" s="54"/>
      <c r="J26" s="54"/>
      <c r="K26" s="46"/>
      <c r="L26" s="26"/>
    </row>
    <row r="27" spans="1:12" ht="15.75" customHeight="1" x14ac:dyDescent="0.2">
      <c r="A27" s="102"/>
      <c r="B27" s="64"/>
      <c r="C27" s="64"/>
      <c r="D27" s="65"/>
      <c r="E27" s="147"/>
      <c r="F27" s="54"/>
      <c r="G27" s="54"/>
      <c r="H27" s="54"/>
      <c r="I27" s="54"/>
      <c r="J27" s="54"/>
      <c r="K27" s="46"/>
      <c r="L27" s="26"/>
    </row>
    <row r="28" spans="1:12" x14ac:dyDescent="0.2">
      <c r="A28" s="102"/>
      <c r="B28" s="64"/>
      <c r="C28" s="64"/>
      <c r="D28" s="65"/>
      <c r="E28" s="147"/>
      <c r="F28" s="54"/>
      <c r="G28" s="54"/>
      <c r="H28" s="54"/>
      <c r="I28" s="54"/>
      <c r="J28" s="54"/>
      <c r="K28" s="46"/>
      <c r="L28" s="26"/>
    </row>
    <row r="29" spans="1:12" x14ac:dyDescent="0.2">
      <c r="A29" s="71"/>
      <c r="B29" s="64"/>
      <c r="C29" s="64"/>
      <c r="D29" s="65"/>
      <c r="E29" s="147"/>
      <c r="F29" s="54"/>
      <c r="G29" s="54"/>
      <c r="H29" s="54"/>
      <c r="I29" s="54"/>
      <c r="J29" s="54"/>
      <c r="K29" s="46"/>
      <c r="L29" s="26"/>
    </row>
    <row r="30" spans="1:12" x14ac:dyDescent="0.2">
      <c r="A30" s="71"/>
      <c r="B30" s="64"/>
      <c r="C30" s="64"/>
      <c r="D30" s="65"/>
      <c r="E30" s="147"/>
      <c r="F30" s="54"/>
      <c r="G30" s="54"/>
      <c r="H30" s="54"/>
      <c r="I30" s="54"/>
      <c r="J30" s="54"/>
      <c r="K30" s="46"/>
      <c r="L30" s="26"/>
    </row>
    <row r="31" spans="1:12" x14ac:dyDescent="0.2">
      <c r="A31" s="71"/>
      <c r="B31" s="64"/>
      <c r="C31" s="64"/>
      <c r="D31" s="65"/>
      <c r="E31" s="147"/>
      <c r="F31" s="54"/>
      <c r="G31" s="54"/>
      <c r="H31" s="54"/>
      <c r="I31" s="54"/>
      <c r="J31" s="54"/>
      <c r="K31" s="46"/>
      <c r="L31" s="26"/>
    </row>
    <row r="32" spans="1:12" x14ac:dyDescent="0.2">
      <c r="A32" s="71"/>
      <c r="B32" s="64"/>
      <c r="C32" s="64"/>
      <c r="D32" s="65"/>
      <c r="E32" s="147"/>
      <c r="F32" s="54"/>
      <c r="G32" s="54"/>
      <c r="H32" s="54"/>
      <c r="I32" s="54"/>
      <c r="J32" s="54"/>
      <c r="K32" s="46"/>
      <c r="L32" s="26"/>
    </row>
    <row r="33" spans="1:12" x14ac:dyDescent="0.2">
      <c r="A33" s="71"/>
      <c r="B33" s="64"/>
      <c r="C33" s="64"/>
      <c r="D33" s="65"/>
      <c r="E33" s="147"/>
      <c r="F33" s="54"/>
      <c r="G33" s="54"/>
      <c r="H33" s="54"/>
      <c r="I33" s="54"/>
      <c r="J33" s="54"/>
      <c r="K33" s="46"/>
      <c r="L33" s="26"/>
    </row>
    <row r="34" spans="1:12" x14ac:dyDescent="0.2">
      <c r="A34" s="34"/>
      <c r="B34" s="64"/>
      <c r="C34" s="64"/>
      <c r="D34" s="65"/>
      <c r="E34" s="147"/>
      <c r="F34" s="54"/>
      <c r="G34" s="54"/>
      <c r="H34" s="54"/>
      <c r="I34" s="54"/>
      <c r="J34" s="54"/>
      <c r="K34" s="46"/>
      <c r="L34" s="26"/>
    </row>
    <row r="35" spans="1:12" x14ac:dyDescent="0.2">
      <c r="A35" s="34"/>
      <c r="B35" s="64"/>
      <c r="C35" s="64"/>
      <c r="D35" s="65"/>
      <c r="E35" s="147"/>
      <c r="F35" s="54"/>
      <c r="G35" s="54"/>
      <c r="H35" s="54"/>
      <c r="I35" s="54"/>
      <c r="J35" s="54"/>
      <c r="K35" s="46"/>
      <c r="L35" s="26"/>
    </row>
    <row r="36" spans="1:12" x14ac:dyDescent="0.2">
      <c r="A36" s="34"/>
      <c r="B36" s="64"/>
      <c r="C36" s="64"/>
      <c r="D36" s="65"/>
      <c r="E36" s="147"/>
      <c r="F36" s="54"/>
      <c r="G36" s="54"/>
      <c r="H36" s="54"/>
      <c r="I36" s="54"/>
      <c r="J36" s="54"/>
      <c r="K36" s="46"/>
      <c r="L36" s="26"/>
    </row>
    <row r="37" spans="1:12" x14ac:dyDescent="0.2">
      <c r="A37" s="34"/>
      <c r="B37" s="64"/>
      <c r="C37" s="64"/>
      <c r="D37" s="65"/>
      <c r="E37" s="147"/>
      <c r="F37" s="54"/>
      <c r="G37" s="54"/>
      <c r="H37" s="54"/>
      <c r="I37" s="54"/>
      <c r="J37" s="54"/>
      <c r="K37" s="46"/>
      <c r="L37" s="26"/>
    </row>
    <row r="38" spans="1:12" x14ac:dyDescent="0.2">
      <c r="A38" s="34"/>
      <c r="B38" s="64"/>
      <c r="C38" s="64"/>
      <c r="D38" s="65"/>
      <c r="E38" s="147"/>
      <c r="F38" s="54"/>
      <c r="G38" s="54"/>
      <c r="H38" s="54"/>
      <c r="I38" s="54"/>
      <c r="J38" s="54"/>
      <c r="K38" s="46"/>
      <c r="L38" s="26"/>
    </row>
    <row r="39" spans="1:12" x14ac:dyDescent="0.2">
      <c r="A39" s="34"/>
      <c r="B39" s="64"/>
      <c r="C39" s="64"/>
      <c r="D39" s="65"/>
      <c r="E39" s="147"/>
      <c r="F39" s="54"/>
      <c r="G39" s="54"/>
      <c r="H39" s="54"/>
      <c r="I39" s="54"/>
      <c r="J39" s="54"/>
      <c r="K39" s="46"/>
      <c r="L39" s="26"/>
    </row>
    <row r="40" spans="1:12" x14ac:dyDescent="0.2">
      <c r="A40" s="34"/>
      <c r="B40" s="64"/>
      <c r="C40" s="64"/>
      <c r="D40" s="65"/>
      <c r="E40" s="147"/>
      <c r="F40" s="54"/>
      <c r="G40" s="54"/>
      <c r="H40" s="54"/>
      <c r="I40" s="54"/>
      <c r="J40" s="54"/>
      <c r="K40" s="46"/>
      <c r="L40" s="26"/>
    </row>
    <row r="41" spans="1:12" x14ac:dyDescent="0.2">
      <c r="A41" s="34"/>
      <c r="B41" s="64"/>
      <c r="C41" s="64"/>
      <c r="D41" s="65"/>
      <c r="E41" s="147"/>
      <c r="F41" s="54"/>
      <c r="G41" s="54"/>
      <c r="H41" s="54"/>
      <c r="I41" s="54"/>
      <c r="J41" s="54"/>
      <c r="K41" s="46"/>
      <c r="L41" s="26"/>
    </row>
    <row r="42" spans="1:12" x14ac:dyDescent="0.2">
      <c r="A42" s="34"/>
      <c r="B42" s="64"/>
      <c r="C42" s="64"/>
      <c r="D42" s="65"/>
      <c r="E42" s="147"/>
      <c r="F42" s="54"/>
      <c r="G42" s="54"/>
      <c r="H42" s="54"/>
      <c r="I42" s="54"/>
      <c r="J42" s="54"/>
      <c r="K42" s="46"/>
      <c r="L42" s="26"/>
    </row>
    <row r="43" spans="1:12" x14ac:dyDescent="0.2">
      <c r="A43" s="34"/>
      <c r="B43" s="64"/>
      <c r="C43" s="64"/>
      <c r="D43" s="65"/>
      <c r="E43" s="147"/>
      <c r="F43" s="54"/>
      <c r="G43" s="54"/>
      <c r="H43" s="54"/>
      <c r="I43" s="54"/>
      <c r="J43" s="54"/>
      <c r="K43" s="46"/>
      <c r="L43" s="26"/>
    </row>
    <row r="44" spans="1:12" x14ac:dyDescent="0.2">
      <c r="A44" s="133"/>
      <c r="B44" s="133"/>
      <c r="C44" s="133"/>
      <c r="D44" s="133"/>
      <c r="E44" s="133"/>
      <c r="F44" s="133"/>
      <c r="G44" s="133"/>
      <c r="H44" s="133"/>
      <c r="I44" s="133"/>
      <c r="J44" s="133"/>
    </row>
    <row r="45" spans="1:12" ht="17.25" customHeight="1" x14ac:dyDescent="0.2">
      <c r="A45" s="133"/>
      <c r="B45" s="133"/>
      <c r="C45" s="133"/>
      <c r="D45" s="133"/>
      <c r="E45" s="133"/>
      <c r="F45" s="133"/>
      <c r="G45" s="133"/>
      <c r="H45" s="133"/>
      <c r="I45" s="133"/>
      <c r="J45" s="133"/>
    </row>
    <row r="46" spans="1:12" x14ac:dyDescent="0.2">
      <c r="A46" s="133"/>
      <c r="B46" s="133"/>
      <c r="C46" s="133"/>
      <c r="D46" s="133"/>
      <c r="E46" s="133"/>
      <c r="F46" s="133"/>
      <c r="G46" s="133"/>
      <c r="H46" s="133"/>
      <c r="I46" s="133"/>
      <c r="J46" s="133"/>
    </row>
    <row r="47" spans="1:12" x14ac:dyDescent="0.2">
      <c r="A47" s="133"/>
      <c r="B47" s="133"/>
      <c r="C47" s="133"/>
      <c r="D47" s="133"/>
      <c r="E47" s="133"/>
      <c r="F47" s="133"/>
      <c r="G47" s="133"/>
      <c r="H47" s="133"/>
      <c r="I47" s="133"/>
      <c r="J47" s="133"/>
      <c r="K47" s="133"/>
    </row>
    <row r="48" spans="1:12" ht="15" x14ac:dyDescent="0.2">
      <c r="A48" s="133"/>
      <c r="B48" s="133"/>
      <c r="C48" s="133"/>
      <c r="D48" s="133"/>
      <c r="E48" s="133"/>
      <c r="F48" s="133"/>
      <c r="G48" s="133"/>
      <c r="H48" s="9"/>
      <c r="I48" s="140"/>
      <c r="J48" s="41"/>
      <c r="K48" s="133"/>
    </row>
    <row r="49" spans="1:12" x14ac:dyDescent="0.2">
      <c r="A49" s="133"/>
      <c r="B49" s="133"/>
      <c r="C49" s="133"/>
      <c r="D49" s="133"/>
      <c r="E49" s="133"/>
      <c r="F49" s="133"/>
      <c r="G49" s="133"/>
      <c r="H49" s="140"/>
      <c r="I49" s="140"/>
      <c r="J49" s="41"/>
      <c r="K49" s="133"/>
    </row>
    <row r="50" spans="1:12" x14ac:dyDescent="0.2">
      <c r="G50" s="133"/>
      <c r="H50" s="140"/>
      <c r="I50" s="140"/>
      <c r="J50" s="41"/>
      <c r="K50" s="133"/>
    </row>
    <row r="51" spans="1:12" x14ac:dyDescent="0.2">
      <c r="G51" s="133"/>
      <c r="H51" s="140"/>
      <c r="I51" s="140"/>
      <c r="J51" s="41"/>
      <c r="K51" s="133"/>
    </row>
    <row r="52" spans="1:12" x14ac:dyDescent="0.2">
      <c r="G52" s="133"/>
      <c r="H52" s="140"/>
      <c r="I52" s="140"/>
      <c r="J52" s="41"/>
      <c r="K52" s="133"/>
    </row>
    <row r="53" spans="1:12" x14ac:dyDescent="0.2">
      <c r="G53" s="133"/>
      <c r="H53" s="133"/>
      <c r="I53" s="133"/>
      <c r="J53" s="133"/>
      <c r="K53" s="133"/>
    </row>
    <row r="54" spans="1:12" x14ac:dyDescent="0.2">
      <c r="G54" s="133"/>
      <c r="H54" s="133"/>
      <c r="I54" s="133"/>
      <c r="J54" s="133"/>
      <c r="K54" s="133"/>
    </row>
    <row r="56" spans="1:12" x14ac:dyDescent="0.2">
      <c r="J56"/>
      <c r="K56"/>
      <c r="L56"/>
    </row>
    <row r="57" spans="1:12" x14ac:dyDescent="0.2">
      <c r="J57"/>
      <c r="K57"/>
      <c r="L57"/>
    </row>
    <row r="58" spans="1:12" x14ac:dyDescent="0.2">
      <c r="J58"/>
      <c r="K58"/>
      <c r="L58"/>
    </row>
    <row r="59" spans="1:12" x14ac:dyDescent="0.2">
      <c r="J59"/>
      <c r="K59"/>
      <c r="L59"/>
    </row>
    <row r="60" spans="1:12" x14ac:dyDescent="0.2">
      <c r="J60"/>
      <c r="K60"/>
      <c r="L60"/>
    </row>
  </sheetData>
  <mergeCells count="1">
    <mergeCell ref="C1:M1"/>
  </mergeCells>
  <printOptions horizontalCentered="1"/>
  <pageMargins left="0.5" right="0.5" top="0.5" bottom="0.5" header="0" footer="0"/>
  <pageSetup scale="9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workbookViewId="0">
      <selection activeCell="O4" sqref="O4"/>
    </sheetView>
  </sheetViews>
  <sheetFormatPr defaultColWidth="8.85546875" defaultRowHeight="12.75" x14ac:dyDescent="0.2"/>
  <cols>
    <col min="1" max="7" width="8.28515625" style="45" customWidth="1"/>
    <col min="8" max="8" width="4.85546875" style="45" customWidth="1"/>
    <col min="9" max="14" width="8.28515625" style="45" customWidth="1"/>
    <col min="15" max="15" width="13.140625" style="45" customWidth="1"/>
    <col min="16" max="19" width="8.28515625" style="45" customWidth="1"/>
    <col min="20" max="16384" width="8.85546875" style="45"/>
  </cols>
  <sheetData>
    <row r="1" spans="1:15" ht="15.75" x14ac:dyDescent="0.25">
      <c r="C1" s="160" t="s">
        <v>11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5" x14ac:dyDescent="0.2">
      <c r="C2" s="159" t="str">
        <f>Table!A7</f>
        <v>NordAq Energy Inc.</v>
      </c>
      <c r="K2" s="151" t="str">
        <f>Table!L7</f>
        <v>Sample Number:</v>
      </c>
      <c r="O2" s="152" t="str">
        <f>Table!$P$7</f>
        <v>7</v>
      </c>
    </row>
    <row r="3" spans="1:15" x14ac:dyDescent="0.2">
      <c r="C3" s="159" t="str">
        <f>Table!A8</f>
        <v>East Simpson No. 2 (USGS/Husky 1980)</v>
      </c>
      <c r="K3" s="151" t="str">
        <f>Table!L8</f>
        <v>Sample Depth, m:</v>
      </c>
      <c r="O3" s="96">
        <f>Table!$P$8</f>
        <v>6069.2</v>
      </c>
    </row>
    <row r="4" spans="1:15" x14ac:dyDescent="0.2">
      <c r="C4" s="159" t="str">
        <f>Table!A9</f>
        <v>Torok Sandstones Formation</v>
      </c>
      <c r="K4" s="151" t="str">
        <f>Table!L9</f>
        <v>Permeability to Air (calc), mD:</v>
      </c>
      <c r="M4" s="46"/>
      <c r="N4" s="46"/>
      <c r="O4" s="43">
        <f>Table!$P$9</f>
        <v>1.0990210793031179</v>
      </c>
    </row>
    <row r="5" spans="1:15" x14ac:dyDescent="0.2">
      <c r="C5" s="159" t="str">
        <f>Table!A10</f>
        <v>HH-61176</v>
      </c>
      <c r="D5" s="74"/>
      <c r="E5" s="74"/>
      <c r="F5" s="43"/>
      <c r="G5" s="74"/>
      <c r="K5" s="151" t="str">
        <f>Table!L10</f>
        <v>Porosity, fraction:</v>
      </c>
      <c r="M5" s="46"/>
      <c r="N5" s="46"/>
      <c r="O5" s="117">
        <f>Table!$P$10</f>
        <v>0.14002059360133434</v>
      </c>
    </row>
    <row r="6" spans="1:15" x14ac:dyDescent="0.2">
      <c r="A6" s="46"/>
      <c r="C6" s="159"/>
      <c r="D6" s="62"/>
      <c r="E6" s="62"/>
      <c r="F6" s="62"/>
      <c r="G6" s="46"/>
      <c r="K6" s="151" t="str">
        <f>Table!L11</f>
        <v>Grain Density, grams/cc:</v>
      </c>
      <c r="M6" s="62"/>
      <c r="N6" s="62"/>
      <c r="O6" s="43">
        <f>Table!$P$11</f>
        <v>2.6797722054266497</v>
      </c>
    </row>
    <row r="7" spans="1:15" x14ac:dyDescent="0.2">
      <c r="B7" s="159"/>
      <c r="D7" s="46"/>
      <c r="E7" s="46"/>
      <c r="I7" s="151"/>
      <c r="K7" s="62"/>
      <c r="L7" s="20"/>
      <c r="M7" s="24"/>
    </row>
    <row r="8" spans="1:15" x14ac:dyDescent="0.2">
      <c r="B8" s="46"/>
      <c r="C8" s="46"/>
      <c r="D8" s="46"/>
      <c r="E8" s="46"/>
      <c r="F8" s="46"/>
    </row>
    <row r="9" spans="1:15" x14ac:dyDescent="0.2">
      <c r="B9" s="46"/>
      <c r="C9" s="46"/>
      <c r="D9" s="46"/>
      <c r="E9" s="46"/>
      <c r="F9" s="46"/>
      <c r="K9" s="62"/>
      <c r="L9" s="20"/>
    </row>
    <row r="10" spans="1:15" x14ac:dyDescent="0.2">
      <c r="B10" s="46"/>
      <c r="C10" s="46"/>
      <c r="D10" s="62"/>
      <c r="E10" s="46"/>
      <c r="F10" s="46"/>
      <c r="K10" s="62"/>
      <c r="L10" s="20"/>
    </row>
    <row r="11" spans="1:15" x14ac:dyDescent="0.2">
      <c r="B11" s="46"/>
      <c r="C11" s="46"/>
      <c r="D11" s="62"/>
      <c r="E11" s="46"/>
      <c r="F11" s="46"/>
      <c r="G11" s="151"/>
      <c r="H11" s="46"/>
      <c r="I11" s="46"/>
      <c r="J11" s="117"/>
      <c r="K11" s="62"/>
      <c r="L11" s="20"/>
    </row>
    <row r="12" spans="1:15" x14ac:dyDescent="0.2">
      <c r="A12" s="159"/>
      <c r="B12" s="46"/>
      <c r="C12" s="46"/>
      <c r="D12" s="46"/>
      <c r="E12" s="46"/>
      <c r="F12" s="46"/>
      <c r="G12" s="46"/>
      <c r="H12" s="46"/>
      <c r="I12" s="135"/>
      <c r="J12" s="62"/>
      <c r="K12" s="62"/>
      <c r="L12" s="20"/>
    </row>
    <row r="13" spans="1:15" x14ac:dyDescent="0.2">
      <c r="A13" s="78"/>
      <c r="B13" s="78"/>
      <c r="C13" s="78"/>
      <c r="D13" s="78"/>
      <c r="E13" s="78"/>
      <c r="F13" s="63"/>
      <c r="G13" s="63"/>
      <c r="H13" s="63"/>
      <c r="I13" s="63"/>
      <c r="J13" s="63"/>
      <c r="K13" s="62"/>
      <c r="L13" s="20"/>
    </row>
    <row r="14" spans="1:15" x14ac:dyDescent="0.2">
      <c r="A14" s="78"/>
      <c r="B14" s="78"/>
      <c r="C14" s="78"/>
      <c r="D14" s="78"/>
      <c r="E14" s="78"/>
      <c r="F14" s="78"/>
      <c r="G14" s="78"/>
      <c r="H14" s="78"/>
      <c r="I14" s="63"/>
      <c r="J14" s="63"/>
      <c r="K14" s="46"/>
      <c r="L14" s="20"/>
    </row>
    <row r="15" spans="1:15" x14ac:dyDescent="0.2">
      <c r="A15" s="78"/>
      <c r="B15" s="78"/>
      <c r="C15" s="78"/>
      <c r="D15" s="78"/>
      <c r="E15" s="78"/>
      <c r="F15" s="78"/>
      <c r="G15" s="78"/>
      <c r="H15" s="78"/>
      <c r="I15" s="63"/>
      <c r="J15" s="63"/>
      <c r="K15" s="46"/>
      <c r="L15" s="20"/>
    </row>
    <row r="16" spans="1:15" x14ac:dyDescent="0.2">
      <c r="A16" s="146"/>
      <c r="B16" s="146"/>
      <c r="C16" s="146"/>
      <c r="D16" s="146"/>
      <c r="E16" s="146"/>
      <c r="F16" s="146"/>
      <c r="G16" s="146"/>
      <c r="H16" s="146"/>
      <c r="I16" s="146"/>
      <c r="J16" s="146"/>
      <c r="K16" s="46"/>
      <c r="L16" s="112"/>
    </row>
    <row r="17" spans="1:12" x14ac:dyDescent="0.2">
      <c r="A17" s="35"/>
      <c r="B17" s="64"/>
      <c r="C17" s="64"/>
      <c r="D17" s="65"/>
      <c r="E17" s="147"/>
      <c r="F17" s="54"/>
      <c r="G17" s="54"/>
      <c r="H17" s="54"/>
      <c r="I17" s="54"/>
      <c r="J17" s="54"/>
      <c r="K17" s="46"/>
      <c r="L17" s="112"/>
    </row>
    <row r="18" spans="1:12" x14ac:dyDescent="0.2">
      <c r="A18" s="148"/>
      <c r="B18" s="64"/>
      <c r="C18" s="64"/>
      <c r="D18" s="65"/>
      <c r="E18" s="147"/>
      <c r="F18" s="54"/>
      <c r="G18" s="54"/>
      <c r="H18" s="54"/>
      <c r="I18" s="54"/>
      <c r="J18" s="54"/>
      <c r="K18" s="46"/>
      <c r="L18" s="112"/>
    </row>
    <row r="19" spans="1:12" x14ac:dyDescent="0.2">
      <c r="A19" s="148"/>
      <c r="B19" s="64"/>
      <c r="C19" s="64"/>
      <c r="D19" s="65"/>
      <c r="E19" s="147"/>
      <c r="F19" s="54"/>
      <c r="G19" s="54"/>
      <c r="H19" s="54"/>
      <c r="I19" s="54"/>
      <c r="J19" s="54"/>
      <c r="K19" s="46"/>
      <c r="L19" s="146"/>
    </row>
    <row r="20" spans="1:12" x14ac:dyDescent="0.2">
      <c r="A20" s="148"/>
      <c r="B20" s="64"/>
      <c r="C20" s="64"/>
      <c r="D20" s="65"/>
      <c r="E20" s="147"/>
      <c r="F20" s="54"/>
      <c r="G20" s="54"/>
      <c r="H20" s="54"/>
      <c r="I20" s="54"/>
      <c r="J20" s="54"/>
      <c r="K20" s="46"/>
      <c r="L20" s="26"/>
    </row>
    <row r="21" spans="1:12" x14ac:dyDescent="0.2">
      <c r="A21" s="148"/>
      <c r="B21" s="64"/>
      <c r="C21" s="64"/>
      <c r="D21" s="65"/>
      <c r="E21" s="147"/>
      <c r="F21" s="54"/>
      <c r="G21" s="54"/>
      <c r="H21" s="54"/>
      <c r="I21" s="54"/>
      <c r="J21" s="54"/>
      <c r="K21" s="46"/>
      <c r="L21" s="26"/>
    </row>
    <row r="22" spans="1:12" x14ac:dyDescent="0.2">
      <c r="A22" s="148"/>
      <c r="B22" s="64"/>
      <c r="C22" s="64"/>
      <c r="D22" s="65"/>
      <c r="E22" s="147"/>
      <c r="F22" s="54"/>
      <c r="G22" s="54"/>
      <c r="H22" s="54"/>
      <c r="I22" s="54"/>
      <c r="J22" s="54"/>
      <c r="K22" s="46"/>
      <c r="L22" s="26"/>
    </row>
    <row r="23" spans="1:12" x14ac:dyDescent="0.2">
      <c r="A23" s="102"/>
      <c r="B23" s="64"/>
      <c r="C23" s="64"/>
      <c r="D23" s="65"/>
      <c r="E23" s="147"/>
      <c r="F23" s="54"/>
      <c r="G23" s="54"/>
      <c r="H23" s="54"/>
      <c r="I23" s="54"/>
      <c r="J23" s="54"/>
      <c r="K23" s="46"/>
      <c r="L23" s="26"/>
    </row>
    <row r="24" spans="1:12" x14ac:dyDescent="0.2">
      <c r="A24" s="102"/>
      <c r="B24" s="64"/>
      <c r="C24" s="64"/>
      <c r="D24" s="65"/>
      <c r="E24" s="147"/>
      <c r="F24" s="54"/>
      <c r="G24" s="54"/>
      <c r="H24" s="54"/>
      <c r="I24" s="54"/>
      <c r="J24" s="54"/>
      <c r="K24" s="46"/>
      <c r="L24" s="26"/>
    </row>
    <row r="25" spans="1:12" x14ac:dyDescent="0.2">
      <c r="A25" s="102"/>
      <c r="B25" s="64"/>
      <c r="C25" s="64"/>
      <c r="D25" s="65"/>
      <c r="E25" s="147"/>
      <c r="F25" s="54"/>
      <c r="G25" s="54"/>
      <c r="H25" s="54"/>
      <c r="I25" s="54"/>
      <c r="J25" s="54"/>
      <c r="K25" s="46"/>
      <c r="L25" s="26"/>
    </row>
    <row r="26" spans="1:12" x14ac:dyDescent="0.2">
      <c r="A26" s="102"/>
      <c r="B26" s="64"/>
      <c r="C26" s="64"/>
      <c r="D26" s="65"/>
      <c r="E26" s="147"/>
      <c r="F26" s="54"/>
      <c r="G26" s="54"/>
      <c r="H26" s="54"/>
      <c r="I26" s="54"/>
      <c r="J26" s="54"/>
      <c r="K26" s="46"/>
      <c r="L26" s="26"/>
    </row>
    <row r="27" spans="1:12" x14ac:dyDescent="0.2">
      <c r="A27" s="102"/>
      <c r="B27" s="64"/>
      <c r="C27" s="64"/>
      <c r="D27" s="65"/>
      <c r="E27" s="147"/>
      <c r="F27" s="54"/>
      <c r="G27" s="54"/>
      <c r="H27" s="54"/>
      <c r="I27" s="54"/>
      <c r="J27" s="54"/>
      <c r="K27" s="46"/>
      <c r="L27" s="26"/>
    </row>
    <row r="28" spans="1:12" x14ac:dyDescent="0.2">
      <c r="A28" s="71"/>
      <c r="B28" s="64"/>
      <c r="C28" s="64"/>
      <c r="D28" s="65"/>
      <c r="E28" s="147"/>
      <c r="F28" s="54"/>
      <c r="G28" s="54"/>
      <c r="H28" s="54"/>
      <c r="I28" s="54"/>
      <c r="J28" s="54"/>
      <c r="K28" s="46"/>
      <c r="L28" s="26"/>
    </row>
    <row r="29" spans="1:12" x14ac:dyDescent="0.2">
      <c r="A29" s="71"/>
      <c r="B29" s="64"/>
      <c r="C29" s="64"/>
      <c r="D29" s="65"/>
      <c r="E29" s="147"/>
      <c r="F29" s="54"/>
      <c r="G29" s="54"/>
      <c r="H29" s="54"/>
      <c r="I29" s="54"/>
      <c r="J29" s="54"/>
      <c r="K29" s="46"/>
      <c r="L29" s="26"/>
    </row>
    <row r="30" spans="1:12" x14ac:dyDescent="0.2">
      <c r="A30" s="71"/>
      <c r="B30" s="64"/>
      <c r="C30" s="64"/>
      <c r="D30" s="65"/>
      <c r="E30" s="147"/>
      <c r="F30" s="54"/>
      <c r="G30" s="54"/>
      <c r="H30" s="54"/>
      <c r="I30" s="54"/>
      <c r="J30" s="54"/>
      <c r="K30" s="46"/>
      <c r="L30" s="26"/>
    </row>
    <row r="31" spans="1:12" x14ac:dyDescent="0.2">
      <c r="A31" s="71"/>
      <c r="B31" s="64"/>
      <c r="C31" s="64"/>
      <c r="D31" s="65"/>
      <c r="E31" s="147"/>
      <c r="F31" s="54"/>
      <c r="G31" s="54"/>
      <c r="H31" s="54"/>
      <c r="I31" s="54"/>
      <c r="J31" s="54"/>
      <c r="K31" s="46"/>
      <c r="L31" s="26"/>
    </row>
    <row r="32" spans="1:12" x14ac:dyDescent="0.2">
      <c r="A32" s="71"/>
      <c r="B32" s="64"/>
      <c r="C32" s="64"/>
      <c r="D32" s="65"/>
      <c r="E32" s="147"/>
      <c r="F32" s="54"/>
      <c r="G32" s="54"/>
      <c r="H32" s="54"/>
      <c r="I32" s="54"/>
      <c r="J32" s="54"/>
      <c r="K32" s="46"/>
      <c r="L32" s="26"/>
    </row>
    <row r="33" spans="1:13" x14ac:dyDescent="0.2">
      <c r="A33" s="34"/>
      <c r="B33" s="64"/>
      <c r="C33" s="64"/>
      <c r="D33" s="65"/>
      <c r="E33" s="147"/>
      <c r="F33" s="54"/>
      <c r="G33" s="54"/>
      <c r="H33" s="54"/>
      <c r="I33" s="54"/>
      <c r="J33" s="54"/>
      <c r="K33" s="46"/>
      <c r="L33" s="26"/>
    </row>
    <row r="34" spans="1:13" x14ac:dyDescent="0.2">
      <c r="A34" s="34"/>
      <c r="B34" s="64"/>
      <c r="C34" s="64"/>
      <c r="D34" s="65"/>
      <c r="E34" s="147"/>
      <c r="F34" s="54"/>
      <c r="G34" s="54"/>
      <c r="H34" s="54"/>
      <c r="I34" s="54"/>
      <c r="J34" s="54"/>
      <c r="K34" s="46"/>
      <c r="L34" s="26"/>
    </row>
    <row r="35" spans="1:13" x14ac:dyDescent="0.2">
      <c r="A35" s="34"/>
      <c r="B35" s="64"/>
      <c r="C35" s="64"/>
      <c r="D35" s="65"/>
      <c r="E35" s="147"/>
      <c r="F35" s="54"/>
      <c r="G35" s="54"/>
      <c r="H35" s="54"/>
      <c r="I35" s="54"/>
      <c r="J35" s="54"/>
      <c r="K35" s="46"/>
      <c r="L35" s="26"/>
    </row>
    <row r="36" spans="1:13" x14ac:dyDescent="0.2">
      <c r="A36" s="34"/>
      <c r="B36" s="64"/>
      <c r="C36" s="64"/>
      <c r="D36" s="65"/>
      <c r="E36" s="147"/>
      <c r="F36" s="54"/>
      <c r="G36" s="54"/>
      <c r="H36" s="54"/>
      <c r="I36" s="54"/>
      <c r="J36" s="54"/>
      <c r="K36" s="46"/>
      <c r="L36" s="26"/>
    </row>
    <row r="37" spans="1:13" x14ac:dyDescent="0.2">
      <c r="A37" s="34"/>
      <c r="B37" s="64"/>
      <c r="C37" s="64"/>
      <c r="D37" s="65"/>
      <c r="E37" s="147"/>
      <c r="F37" s="54"/>
      <c r="G37" s="54"/>
      <c r="H37" s="54"/>
      <c r="I37" s="54"/>
      <c r="J37" s="54"/>
      <c r="K37"/>
      <c r="L37"/>
      <c r="M37"/>
    </row>
    <row r="38" spans="1:13" x14ac:dyDescent="0.2">
      <c r="A38" s="34"/>
      <c r="B38" s="64"/>
      <c r="C38" s="64"/>
      <c r="D38" s="65"/>
      <c r="E38" s="147"/>
      <c r="F38" s="54"/>
      <c r="G38" s="54"/>
      <c r="H38" s="54"/>
      <c r="I38" s="54"/>
      <c r="J38" s="54"/>
      <c r="K38"/>
      <c r="L38"/>
      <c r="M38"/>
    </row>
    <row r="39" spans="1:13" x14ac:dyDescent="0.2">
      <c r="A39" s="34"/>
      <c r="B39" s="64"/>
      <c r="C39" s="64"/>
      <c r="D39" s="65"/>
      <c r="E39" s="147"/>
      <c r="F39" s="54"/>
      <c r="G39" s="54"/>
      <c r="H39" s="54"/>
      <c r="I39" s="54"/>
      <c r="J39" s="54"/>
      <c r="K39"/>
      <c r="L39"/>
      <c r="M39"/>
    </row>
    <row r="40" spans="1:13" x14ac:dyDescent="0.2">
      <c r="A40" s="34"/>
      <c r="B40" s="64"/>
      <c r="C40" s="64"/>
      <c r="D40" s="65"/>
      <c r="E40" s="147"/>
      <c r="F40" s="54"/>
      <c r="G40" s="54"/>
      <c r="H40" s="54"/>
      <c r="I40" s="54"/>
      <c r="J40" s="54"/>
      <c r="K40"/>
      <c r="L40"/>
      <c r="M40"/>
    </row>
    <row r="41" spans="1:13" x14ac:dyDescent="0.2">
      <c r="A41" s="34"/>
      <c r="B41" s="64"/>
      <c r="C41" s="64"/>
      <c r="D41" s="65"/>
      <c r="E41" s="147"/>
      <c r="F41" s="54"/>
      <c r="G41" s="54"/>
      <c r="H41" s="54"/>
      <c r="I41" s="54"/>
      <c r="J41" s="54"/>
      <c r="K41"/>
      <c r="L41"/>
      <c r="M41"/>
    </row>
    <row r="42" spans="1:13" x14ac:dyDescent="0.2">
      <c r="A42" s="34"/>
      <c r="B42" s="64"/>
      <c r="C42" s="64"/>
      <c r="D42" s="65"/>
      <c r="E42" s="147"/>
      <c r="F42" s="54"/>
      <c r="G42" s="54"/>
      <c r="H42" s="54"/>
      <c r="I42" s="54"/>
      <c r="J42" s="54"/>
      <c r="K42" s="46"/>
      <c r="L42" s="26"/>
    </row>
    <row r="43" spans="1:13" x14ac:dyDescent="0.2">
      <c r="A43" s="133"/>
      <c r="B43" s="133"/>
      <c r="C43" s="133"/>
      <c r="D43" s="133"/>
      <c r="E43" s="133"/>
      <c r="F43" s="133"/>
      <c r="G43" s="133"/>
      <c r="H43" s="133"/>
      <c r="I43" s="133"/>
      <c r="J43" s="133"/>
    </row>
    <row r="44" spans="1:13" x14ac:dyDescent="0.2">
      <c r="A44" s="133"/>
      <c r="B44" s="133"/>
      <c r="C44" s="133"/>
      <c r="D44" s="133"/>
      <c r="E44" s="133"/>
      <c r="F44" s="133"/>
      <c r="G44" s="133"/>
      <c r="H44" s="133"/>
      <c r="I44" s="133"/>
      <c r="J44" s="133"/>
    </row>
    <row r="45" spans="1:13" x14ac:dyDescent="0.2">
      <c r="A45" s="133"/>
      <c r="B45" s="133"/>
      <c r="C45" s="133"/>
      <c r="D45" s="133"/>
      <c r="E45" s="133"/>
      <c r="F45" s="133"/>
      <c r="G45" s="133"/>
      <c r="H45" s="133"/>
      <c r="I45" s="133"/>
      <c r="J45" s="133"/>
    </row>
    <row r="46" spans="1:13" x14ac:dyDescent="0.2">
      <c r="A46" s="133"/>
      <c r="B46" s="133"/>
      <c r="C46" s="133"/>
      <c r="D46" s="133"/>
      <c r="E46" s="133"/>
      <c r="F46" s="133"/>
      <c r="G46" s="133"/>
      <c r="H46" s="133"/>
      <c r="I46" s="133"/>
      <c r="J46" s="133"/>
    </row>
    <row r="47" spans="1:13" x14ac:dyDescent="0.2">
      <c r="A47" s="133"/>
      <c r="B47" s="133"/>
      <c r="C47" s="133"/>
      <c r="D47" s="133"/>
      <c r="E47" s="133"/>
      <c r="F47" s="133"/>
      <c r="G47" s="133"/>
    </row>
    <row r="48" spans="1:13" x14ac:dyDescent="0.2">
      <c r="A48" s="133"/>
      <c r="B48" s="133"/>
      <c r="C48" s="133"/>
      <c r="D48" s="133"/>
      <c r="E48" s="133"/>
      <c r="F48" s="133"/>
      <c r="G48" s="133"/>
    </row>
    <row r="55" spans="10:12" x14ac:dyDescent="0.2">
      <c r="J55"/>
      <c r="K55"/>
      <c r="L55"/>
    </row>
    <row r="56" spans="10:12" x14ac:dyDescent="0.2">
      <c r="J56"/>
      <c r="K56"/>
      <c r="L56"/>
    </row>
    <row r="57" spans="10:12" x14ac:dyDescent="0.2">
      <c r="J57"/>
      <c r="K57"/>
      <c r="L57"/>
    </row>
    <row r="58" spans="10:12" x14ac:dyDescent="0.2">
      <c r="J58"/>
      <c r="K58"/>
      <c r="L58"/>
    </row>
    <row r="59" spans="10:12" x14ac:dyDescent="0.2">
      <c r="J59"/>
      <c r="K59"/>
      <c r="L59"/>
    </row>
  </sheetData>
  <mergeCells count="1">
    <mergeCell ref="C1:M1"/>
  </mergeCells>
  <printOptions horizontalCentered="1"/>
  <pageMargins left="0.5" right="0.5" top="0.5" bottom="0.5" header="0" footer="0"/>
  <pageSetup scale="74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A1:AV190"/>
  <sheetViews>
    <sheetView showGridLines="0" workbookViewId="0">
      <pane xSplit="2" ySplit="16" topLeftCell="C17" activePane="bottomRight" state="frozen"/>
      <selection pane="topRight" activeCell="C1" sqref="C1"/>
      <selection pane="bottomLeft" activeCell="A17" sqref="A17"/>
      <selection pane="bottomRight" activeCell="A11" sqref="A11"/>
    </sheetView>
  </sheetViews>
  <sheetFormatPr defaultColWidth="8.85546875" defaultRowHeight="12.75" x14ac:dyDescent="0.2"/>
  <cols>
    <col min="1" max="2" width="8.85546875" style="45"/>
    <col min="3" max="3" width="11.140625" style="45" customWidth="1"/>
    <col min="4" max="4" width="16.28515625" style="45" customWidth="1"/>
    <col min="5" max="8" width="10.85546875" style="45" customWidth="1"/>
    <col min="9" max="9" width="11.140625" style="45" customWidth="1"/>
    <col min="10" max="10" width="11.85546875" style="45" customWidth="1"/>
    <col min="11" max="11" width="9.85546875" style="45" bestFit="1" customWidth="1"/>
    <col min="12" max="12" width="10.5703125" style="45" customWidth="1"/>
    <col min="13" max="14" width="10.5703125" style="45" bestFit="1" customWidth="1"/>
    <col min="15" max="15" width="8.85546875" style="45" customWidth="1"/>
    <col min="16" max="16" width="10.5703125" style="45" bestFit="1" customWidth="1"/>
    <col min="17" max="17" width="9.5703125" style="45" customWidth="1"/>
    <col min="18" max="18" width="8.85546875" style="45" customWidth="1"/>
    <col min="19" max="19" width="10.85546875" style="45" customWidth="1"/>
    <col min="20" max="20" width="11.140625" style="45" customWidth="1"/>
    <col min="21" max="21" width="9.28515625" style="45" customWidth="1"/>
    <col min="22" max="22" width="10.7109375" style="45" customWidth="1"/>
    <col min="23" max="23" width="10.5703125" style="45" customWidth="1"/>
    <col min="24" max="24" width="11" style="45" customWidth="1"/>
    <col min="25" max="25" width="9.140625"/>
    <col min="26" max="26" width="13" style="45" customWidth="1"/>
    <col min="27" max="28" width="8.85546875" style="45"/>
    <col min="29" max="29" width="12.140625" style="45" bestFit="1" customWidth="1"/>
    <col min="30" max="39" width="8.85546875" style="45"/>
    <col min="40" max="40" width="15.85546875" style="45" customWidth="1"/>
    <col min="41" max="43" width="8.85546875" style="45"/>
    <col min="44" max="48" width="8.85546875" style="133"/>
    <col min="49" max="16384" width="8.85546875" style="45"/>
  </cols>
  <sheetData>
    <row r="1" spans="1:48" x14ac:dyDescent="0.2">
      <c r="P1" s="44"/>
      <c r="Q1" s="44"/>
      <c r="Z1" s="60" t="s">
        <v>50</v>
      </c>
      <c r="AA1" s="150"/>
      <c r="AB1" s="150"/>
      <c r="AC1" s="8"/>
      <c r="AD1" s="8"/>
    </row>
    <row r="2" spans="1:48" x14ac:dyDescent="0.2">
      <c r="Z2" s="125"/>
      <c r="AA2" s="39"/>
      <c r="AB2" s="127" t="s">
        <v>66</v>
      </c>
      <c r="AC2" s="127" t="s">
        <v>51</v>
      </c>
      <c r="AD2" s="142" t="s">
        <v>0</v>
      </c>
      <c r="AE2" s="136" t="s">
        <v>28</v>
      </c>
    </row>
    <row r="3" spans="1:48" x14ac:dyDescent="0.2">
      <c r="P3" s="115"/>
      <c r="Q3" s="115"/>
      <c r="Z3" s="21" t="s">
        <v>82</v>
      </c>
      <c r="AA3" s="146"/>
      <c r="AB3" s="83">
        <v>130</v>
      </c>
      <c r="AC3" s="112"/>
      <c r="AD3" s="4"/>
      <c r="AE3" s="57"/>
    </row>
    <row r="4" spans="1:48" x14ac:dyDescent="0.2">
      <c r="Z4" s="21" t="s">
        <v>22</v>
      </c>
      <c r="AA4" s="146"/>
      <c r="AB4" s="83">
        <v>485</v>
      </c>
      <c r="AC4" s="112"/>
      <c r="AD4" s="4"/>
      <c r="AE4" s="57"/>
      <c r="AN4" s="168" t="s">
        <v>30</v>
      </c>
      <c r="AO4" s="169"/>
      <c r="AP4" s="170"/>
      <c r="AR4" s="167"/>
      <c r="AS4" s="167"/>
      <c r="AT4" s="167"/>
    </row>
    <row r="5" spans="1:48" ht="15.75" x14ac:dyDescent="0.25">
      <c r="A5" s="160" t="s">
        <v>11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50"/>
      <c r="R5" s="62"/>
      <c r="S5" s="62"/>
      <c r="T5" s="62"/>
      <c r="U5" s="62"/>
      <c r="V5" s="62"/>
      <c r="W5" s="62"/>
      <c r="X5" s="62"/>
      <c r="Z5" s="21" t="s">
        <v>31</v>
      </c>
      <c r="AA5" s="146"/>
      <c r="AB5" s="112"/>
      <c r="AC5" s="124">
        <v>0</v>
      </c>
      <c r="AD5" s="124">
        <v>0</v>
      </c>
      <c r="AE5" s="95">
        <v>30</v>
      </c>
      <c r="AN5" s="7" t="s">
        <v>44</v>
      </c>
      <c r="AO5" s="7" t="s">
        <v>33</v>
      </c>
      <c r="AP5" s="7" t="s">
        <v>55</v>
      </c>
      <c r="AR5" s="59"/>
      <c r="AS5" s="59"/>
      <c r="AT5" s="59"/>
    </row>
    <row r="6" spans="1:48" x14ac:dyDescent="0.2">
      <c r="A6" s="46"/>
      <c r="B6" s="62"/>
      <c r="C6" s="62"/>
      <c r="D6" s="46"/>
      <c r="E6" s="46"/>
      <c r="F6" s="46"/>
      <c r="G6" s="46"/>
      <c r="H6" s="46"/>
      <c r="I6" s="46"/>
      <c r="J6" s="46"/>
      <c r="K6" s="62"/>
      <c r="L6" s="62"/>
      <c r="M6" s="62"/>
      <c r="N6" s="46"/>
      <c r="O6" s="62"/>
      <c r="P6" s="62"/>
      <c r="Q6" s="62"/>
      <c r="R6" s="62"/>
      <c r="S6" s="62"/>
      <c r="T6" s="62"/>
      <c r="U6" s="62"/>
      <c r="V6" s="62"/>
      <c r="W6" s="62"/>
      <c r="X6" s="62"/>
      <c r="Z6" s="21" t="s">
        <v>29</v>
      </c>
      <c r="AA6" s="146"/>
      <c r="AB6" s="112"/>
      <c r="AC6" s="134">
        <v>70</v>
      </c>
      <c r="AD6" s="83">
        <v>24</v>
      </c>
      <c r="AE6" s="149">
        <v>35</v>
      </c>
      <c r="AN6" s="82" t="s">
        <v>46</v>
      </c>
      <c r="AO6" s="82" t="s">
        <v>25</v>
      </c>
      <c r="AP6" s="82" t="s">
        <v>25</v>
      </c>
      <c r="AR6" s="59"/>
      <c r="AS6" s="59"/>
      <c r="AT6" s="59"/>
    </row>
    <row r="7" spans="1:48" ht="12.4" customHeight="1" x14ac:dyDescent="0.2">
      <c r="A7" s="72" t="s">
        <v>93</v>
      </c>
      <c r="B7" s="46"/>
      <c r="C7" s="46"/>
      <c r="D7" s="62"/>
      <c r="E7" s="62"/>
      <c r="F7" s="62"/>
      <c r="G7" s="62"/>
      <c r="H7" s="62"/>
      <c r="I7" s="62"/>
      <c r="J7" s="62"/>
      <c r="K7" s="46"/>
      <c r="L7" s="45" t="s">
        <v>40</v>
      </c>
      <c r="P7" s="152" t="s">
        <v>89</v>
      </c>
      <c r="Q7" s="152"/>
      <c r="R7" s="62"/>
      <c r="S7" s="62"/>
      <c r="T7" s="62"/>
      <c r="U7" s="62"/>
      <c r="V7" s="62"/>
      <c r="W7" s="62"/>
      <c r="X7" s="62"/>
      <c r="Z7" s="81" t="s">
        <v>24</v>
      </c>
      <c r="AA7" s="137"/>
      <c r="AB7" s="92"/>
      <c r="AC7" s="134">
        <v>0</v>
      </c>
      <c r="AD7" s="77"/>
      <c r="AE7" s="149">
        <v>30</v>
      </c>
      <c r="AN7" s="6" t="s">
        <v>81</v>
      </c>
      <c r="AO7" s="104">
        <v>1</v>
      </c>
      <c r="AP7" s="104">
        <f t="shared" ref="AP7:AP27" si="0">AO7-AO8</f>
        <v>0</v>
      </c>
      <c r="AR7" s="94" t="s">
        <v>81</v>
      </c>
      <c r="AS7" s="19"/>
      <c r="AT7" s="19"/>
      <c r="AU7" s="22"/>
      <c r="AV7" s="22"/>
    </row>
    <row r="8" spans="1:48" ht="12.4" customHeight="1" x14ac:dyDescent="0.2">
      <c r="A8" s="72" t="s">
        <v>94</v>
      </c>
      <c r="B8" s="46"/>
      <c r="C8" s="46"/>
      <c r="D8" s="46"/>
      <c r="E8" s="46"/>
      <c r="F8" s="46"/>
      <c r="G8" s="46"/>
      <c r="H8" s="46"/>
      <c r="I8" s="46"/>
      <c r="J8" s="46"/>
      <c r="K8" s="46"/>
      <c r="L8" s="45" t="s">
        <v>92</v>
      </c>
      <c r="P8" s="96">
        <v>6069.2</v>
      </c>
      <c r="Q8" s="116"/>
      <c r="R8" s="62"/>
      <c r="S8" s="62"/>
      <c r="T8" s="62"/>
      <c r="U8" s="62"/>
      <c r="V8" s="62"/>
      <c r="W8" s="62"/>
      <c r="X8" s="62"/>
      <c r="Z8" s="55" t="s">
        <v>80</v>
      </c>
      <c r="AA8" s="132"/>
      <c r="AB8" s="89"/>
      <c r="AC8" s="130">
        <v>50</v>
      </c>
      <c r="AD8" s="76"/>
      <c r="AE8" s="114">
        <v>25</v>
      </c>
      <c r="AN8" s="119">
        <f>E135</f>
        <v>1.6735354597592937E-3</v>
      </c>
      <c r="AO8" s="104">
        <f>B135</f>
        <v>1</v>
      </c>
      <c r="AP8" s="104">
        <f t="shared" si="0"/>
        <v>1.1650485436893732E-3</v>
      </c>
      <c r="AR8" s="33">
        <v>1.8387307309880479E-3</v>
      </c>
      <c r="AS8" s="19"/>
      <c r="AT8" s="19"/>
      <c r="AU8" s="42"/>
      <c r="AV8" s="12"/>
    </row>
    <row r="9" spans="1:48" ht="12.4" customHeight="1" x14ac:dyDescent="0.2">
      <c r="A9" s="159" t="s">
        <v>95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151" t="s">
        <v>74</v>
      </c>
      <c r="N9" s="46"/>
      <c r="O9" s="46"/>
      <c r="P9" s="96">
        <f>MAX(V18:V136)</f>
        <v>1.0990210793031179</v>
      </c>
      <c r="Q9" s="17"/>
      <c r="R9" s="62"/>
      <c r="S9" s="62"/>
      <c r="T9" s="62"/>
      <c r="U9" s="62"/>
      <c r="V9" s="62"/>
      <c r="W9" s="62"/>
      <c r="X9" s="62"/>
      <c r="Z9" s="98" t="s">
        <v>10</v>
      </c>
      <c r="AA9" s="137"/>
      <c r="AB9" s="137"/>
      <c r="AC9" s="37">
        <f>ABS($AC$6*COS($AC$5*PI()/180))</f>
        <v>70</v>
      </c>
      <c r="AD9" s="37">
        <f>ABS($AD$6*COS($AD$5*PI()/180))</f>
        <v>24</v>
      </c>
      <c r="AE9" s="38">
        <f>ABS($AE$6*COS($AE$5*PI()/180))</f>
        <v>30.310889132455355</v>
      </c>
      <c r="AN9" s="119">
        <f>E133</f>
        <v>2.0022439196464088E-3</v>
      </c>
      <c r="AO9" s="104">
        <f>B133</f>
        <v>0.99883495145631063</v>
      </c>
      <c r="AP9" s="104">
        <f t="shared" si="0"/>
        <v>1.4368932038834936E-2</v>
      </c>
      <c r="AR9" s="33">
        <v>2.3796891258599209E-3</v>
      </c>
      <c r="AS9" s="19"/>
      <c r="AT9" s="19"/>
      <c r="AU9" s="42"/>
      <c r="AV9" s="12"/>
    </row>
    <row r="10" spans="1:48" ht="12.4" customHeight="1" x14ac:dyDescent="0.2">
      <c r="A10" s="158" t="s">
        <v>96</v>
      </c>
      <c r="B10" s="46"/>
      <c r="C10" s="46"/>
      <c r="D10" s="62"/>
      <c r="E10" s="62"/>
      <c r="F10" s="62"/>
      <c r="G10" s="62"/>
      <c r="H10" s="62"/>
      <c r="I10" s="62"/>
      <c r="J10" s="62"/>
      <c r="K10" s="46"/>
      <c r="L10" s="151" t="s">
        <v>52</v>
      </c>
      <c r="N10" s="46"/>
      <c r="O10" s="46"/>
      <c r="P10" s="117">
        <f>'Raw Data'!M10</f>
        <v>0.14002059360133434</v>
      </c>
      <c r="Q10" s="117"/>
      <c r="R10" s="62"/>
      <c r="S10" s="62"/>
      <c r="T10" s="62"/>
      <c r="U10" s="62"/>
      <c r="V10" s="62"/>
      <c r="W10" s="62"/>
      <c r="X10" s="62"/>
      <c r="Z10" s="68" t="s">
        <v>60</v>
      </c>
      <c r="AA10" s="132"/>
      <c r="AB10" s="132"/>
      <c r="AC10" s="36">
        <f>ABS($AC$8*COS($AC$7*PI()/180))</f>
        <v>50</v>
      </c>
      <c r="AD10" s="89"/>
      <c r="AE10" s="107">
        <f>ABS($AE$8*COS($AE$7*PI()/180))</f>
        <v>21.650635094610969</v>
      </c>
      <c r="AN10" s="119">
        <f>E125</f>
        <v>4.1109817691816876E-3</v>
      </c>
      <c r="AO10" s="104">
        <f>$B125</f>
        <v>0.98446601941747569</v>
      </c>
      <c r="AP10" s="104">
        <f t="shared" si="0"/>
        <v>1.993527508090609E-2</v>
      </c>
      <c r="AR10" s="33">
        <v>4.918869133300207E-3</v>
      </c>
      <c r="AS10" s="19"/>
      <c r="AT10" s="19"/>
      <c r="AU10" s="42"/>
      <c r="AV10" s="12"/>
    </row>
    <row r="11" spans="1:48" ht="12.4" customHeight="1" x14ac:dyDescent="0.2">
      <c r="A11" s="158"/>
      <c r="B11" s="46"/>
      <c r="C11" s="46"/>
      <c r="D11" s="62"/>
      <c r="E11" s="62"/>
      <c r="F11" s="62"/>
      <c r="G11" s="62"/>
      <c r="H11" s="62"/>
      <c r="I11" s="62"/>
      <c r="J11" s="62"/>
      <c r="K11" s="46"/>
      <c r="L11" s="45" t="s">
        <v>23</v>
      </c>
      <c r="P11" s="43">
        <f>'Raw Data'!M11</f>
        <v>2.6797722054266497</v>
      </c>
      <c r="Q11" s="43"/>
      <c r="R11" s="62"/>
      <c r="V11" s="62"/>
      <c r="W11" s="62"/>
      <c r="X11" s="62"/>
      <c r="Z11" s="46"/>
      <c r="AA11" s="144" t="s">
        <v>47</v>
      </c>
      <c r="AB11" s="80"/>
      <c r="AC11" s="80"/>
      <c r="AD11" s="14"/>
      <c r="AN11" s="119">
        <f>E120</f>
        <v>6.412369555722313E-3</v>
      </c>
      <c r="AO11" s="104">
        <f>$B120</f>
        <v>0.9645307443365696</v>
      </c>
      <c r="AP11" s="104">
        <f t="shared" si="0"/>
        <v>1.4822006472491878E-2</v>
      </c>
      <c r="AR11" s="33">
        <v>7.6659819593601552E-3</v>
      </c>
      <c r="AS11" s="19"/>
      <c r="AT11" s="19"/>
      <c r="AU11" s="42"/>
      <c r="AV11" s="12"/>
    </row>
    <row r="12" spans="1:48" ht="12.4" customHeight="1" x14ac:dyDescent="0.2">
      <c r="B12" s="46"/>
      <c r="C12" s="46"/>
      <c r="D12" s="58"/>
      <c r="E12" s="46"/>
      <c r="F12" s="46"/>
      <c r="G12" s="46"/>
      <c r="H12" s="46"/>
      <c r="I12" s="46"/>
      <c r="J12" s="46"/>
      <c r="K12" s="46"/>
      <c r="L12" s="46"/>
      <c r="M12" s="151"/>
      <c r="N12" s="46"/>
      <c r="O12" s="46"/>
      <c r="P12" s="24"/>
      <c r="Q12" s="24"/>
      <c r="R12" s="62"/>
      <c r="S12" s="62"/>
      <c r="T12" s="62"/>
      <c r="U12" s="62"/>
      <c r="V12" s="62"/>
      <c r="W12" s="62"/>
      <c r="X12" s="62"/>
      <c r="Z12" s="46"/>
      <c r="AA12" s="141" t="s">
        <v>71</v>
      </c>
      <c r="AB12" s="39"/>
      <c r="AC12" s="153">
        <v>0.433</v>
      </c>
      <c r="AD12" s="62"/>
      <c r="AN12" s="104">
        <f>E117</f>
        <v>8.4116399403434683E-3</v>
      </c>
      <c r="AO12" s="104">
        <f>$B117</f>
        <v>0.94970873786407772</v>
      </c>
      <c r="AP12" s="104">
        <f t="shared" si="0"/>
        <v>7.0032362459546915E-2</v>
      </c>
      <c r="AR12" s="19">
        <v>1.0017670706649362E-2</v>
      </c>
      <c r="AS12" s="19"/>
      <c r="AT12" s="19"/>
      <c r="AU12" s="42"/>
      <c r="AV12" s="12"/>
    </row>
    <row r="13" spans="1:48" ht="12.4" customHeight="1" x14ac:dyDescent="0.2">
      <c r="Z13" s="46"/>
      <c r="AA13" s="81" t="s">
        <v>14</v>
      </c>
      <c r="AB13" s="137"/>
      <c r="AC13" s="15">
        <v>0.34599999999999997</v>
      </c>
      <c r="AD13" s="46"/>
      <c r="AN13" s="104">
        <f>E107</f>
        <v>2.0663343523550058E-2</v>
      </c>
      <c r="AO13" s="104">
        <f>$B107</f>
        <v>0.87967637540453081</v>
      </c>
      <c r="AP13" s="104">
        <f t="shared" si="0"/>
        <v>7.0809061488673164E-2</v>
      </c>
      <c r="AR13" s="19">
        <v>2.4302503920103202E-2</v>
      </c>
      <c r="AS13" s="19"/>
      <c r="AT13" s="19"/>
      <c r="AU13" s="42"/>
      <c r="AV13" s="12"/>
    </row>
    <row r="14" spans="1:48" ht="12.4" customHeight="1" x14ac:dyDescent="0.2">
      <c r="A14" s="88" t="s">
        <v>84</v>
      </c>
      <c r="B14" s="88" t="s">
        <v>62</v>
      </c>
      <c r="C14" s="88" t="s">
        <v>45</v>
      </c>
      <c r="D14" s="100" t="s">
        <v>91</v>
      </c>
      <c r="E14" s="88" t="s">
        <v>88</v>
      </c>
      <c r="F14" s="88" t="s">
        <v>88</v>
      </c>
      <c r="G14" s="88" t="s">
        <v>13</v>
      </c>
      <c r="H14" s="88" t="s">
        <v>16</v>
      </c>
      <c r="I14" s="88" t="s">
        <v>67</v>
      </c>
      <c r="J14" s="88" t="s">
        <v>79</v>
      </c>
      <c r="K14" s="88"/>
      <c r="L14" s="51" t="s">
        <v>85</v>
      </c>
      <c r="M14" s="138"/>
      <c r="N14" s="18"/>
      <c r="O14" s="51" t="s">
        <v>17</v>
      </c>
      <c r="P14" s="18"/>
      <c r="Q14" s="18" t="s">
        <v>7</v>
      </c>
      <c r="R14" s="88" t="s">
        <v>62</v>
      </c>
      <c r="S14" s="88" t="s">
        <v>37</v>
      </c>
      <c r="T14" s="88" t="s">
        <v>58</v>
      </c>
      <c r="U14" s="88"/>
      <c r="V14" s="88" t="s">
        <v>27</v>
      </c>
      <c r="W14" s="88" t="s">
        <v>86</v>
      </c>
      <c r="X14" s="88" t="s">
        <v>86</v>
      </c>
      <c r="Z14" s="46"/>
      <c r="AA14" s="55" t="s">
        <v>12</v>
      </c>
      <c r="AB14" s="132"/>
      <c r="AC14" s="66">
        <v>0.1</v>
      </c>
      <c r="AD14" s="46"/>
      <c r="AN14" s="104">
        <f>E99</f>
        <v>4.2471385520790751E-2</v>
      </c>
      <c r="AO14" s="104">
        <f>$B99</f>
        <v>0.80886731391585764</v>
      </c>
      <c r="AP14" s="104">
        <f t="shared" si="0"/>
        <v>4.0064724919093853E-2</v>
      </c>
      <c r="AR14" s="19">
        <v>4.9484801750667114E-2</v>
      </c>
      <c r="AS14" s="19"/>
      <c r="AT14" s="19"/>
      <c r="AU14" s="42"/>
      <c r="AV14" s="12"/>
    </row>
    <row r="15" spans="1:48" ht="12.4" customHeight="1" x14ac:dyDescent="0.2">
      <c r="A15" s="67" t="s">
        <v>77</v>
      </c>
      <c r="B15" s="67" t="s">
        <v>5</v>
      </c>
      <c r="C15" s="67" t="s">
        <v>5</v>
      </c>
      <c r="D15" s="75" t="s">
        <v>69</v>
      </c>
      <c r="E15" s="67" t="s">
        <v>78</v>
      </c>
      <c r="F15" s="67" t="s">
        <v>53</v>
      </c>
      <c r="G15" s="67" t="s">
        <v>32</v>
      </c>
      <c r="H15" s="67" t="s">
        <v>32</v>
      </c>
      <c r="I15" s="67" t="s">
        <v>75</v>
      </c>
      <c r="J15" s="67" t="s">
        <v>75</v>
      </c>
      <c r="K15" s="67" t="s">
        <v>87</v>
      </c>
      <c r="L15" s="88" t="s">
        <v>73</v>
      </c>
      <c r="M15" s="88" t="s">
        <v>4</v>
      </c>
      <c r="N15" s="88" t="s">
        <v>41</v>
      </c>
      <c r="O15" s="10" t="s">
        <v>1</v>
      </c>
      <c r="P15" s="32"/>
      <c r="Q15" s="32" t="s">
        <v>8</v>
      </c>
      <c r="R15" s="67" t="s">
        <v>33</v>
      </c>
      <c r="S15" s="67" t="s">
        <v>43</v>
      </c>
      <c r="T15" s="67" t="s">
        <v>86</v>
      </c>
      <c r="U15" s="67" t="s">
        <v>27</v>
      </c>
      <c r="V15" s="67" t="s">
        <v>86</v>
      </c>
      <c r="W15" s="67" t="s">
        <v>42</v>
      </c>
      <c r="X15" s="67" t="s">
        <v>42</v>
      </c>
      <c r="Z15" s="62"/>
      <c r="AN15" s="104">
        <f>E95</f>
        <v>6.0700969621040025E-2</v>
      </c>
      <c r="AO15" s="104">
        <f>$B95</f>
        <v>0.76880258899676379</v>
      </c>
      <c r="AP15" s="104">
        <f t="shared" si="0"/>
        <v>4.5695792880258934E-2</v>
      </c>
      <c r="AR15" s="19">
        <v>7.1632047862346573E-2</v>
      </c>
      <c r="AS15" s="19"/>
      <c r="AT15" s="19"/>
      <c r="AU15" s="42"/>
      <c r="AV15" s="12"/>
    </row>
    <row r="16" spans="1:48" ht="12.4" customHeight="1" x14ac:dyDescent="0.2">
      <c r="A16" s="157" t="s">
        <v>48</v>
      </c>
      <c r="B16" s="157" t="s">
        <v>25</v>
      </c>
      <c r="C16" s="157" t="s">
        <v>25</v>
      </c>
      <c r="D16" s="5" t="s">
        <v>25</v>
      </c>
      <c r="E16" s="157" t="s">
        <v>54</v>
      </c>
      <c r="F16" s="157" t="s">
        <v>63</v>
      </c>
      <c r="G16" s="157" t="s">
        <v>59</v>
      </c>
      <c r="H16" s="157" t="s">
        <v>59</v>
      </c>
      <c r="I16" s="157" t="s">
        <v>54</v>
      </c>
      <c r="J16" s="157" t="s">
        <v>54</v>
      </c>
      <c r="K16" s="157" t="s">
        <v>68</v>
      </c>
      <c r="L16" s="157" t="s">
        <v>48</v>
      </c>
      <c r="M16" s="157" t="s">
        <v>48</v>
      </c>
      <c r="N16" s="157" t="s">
        <v>48</v>
      </c>
      <c r="O16" s="108" t="s">
        <v>65</v>
      </c>
      <c r="P16" s="108" t="s">
        <v>34</v>
      </c>
      <c r="Q16" s="157" t="s">
        <v>70</v>
      </c>
      <c r="R16" s="157" t="s">
        <v>21</v>
      </c>
      <c r="S16" s="157" t="s">
        <v>20</v>
      </c>
      <c r="T16" s="157"/>
      <c r="U16" s="157"/>
      <c r="V16" s="53"/>
      <c r="W16" s="5" t="s">
        <v>6</v>
      </c>
      <c r="X16" s="5" t="s">
        <v>90</v>
      </c>
      <c r="Z16" s="151" t="s">
        <v>72</v>
      </c>
      <c r="AA16" s="62"/>
      <c r="AB16" s="62"/>
      <c r="AC16" s="2">
        <f>ABS(Table!$AB$4*COS(Table!$AB$3*PI()/180))</f>
        <v>311.75199069797156</v>
      </c>
      <c r="AN16" s="104">
        <f>E91</f>
        <v>8.7350564194611957E-2</v>
      </c>
      <c r="AO16" s="104">
        <f>$B91</f>
        <v>0.72310679611650486</v>
      </c>
      <c r="AP16" s="104">
        <f t="shared" si="0"/>
        <v>0.13436893203883493</v>
      </c>
      <c r="AR16" s="19">
        <v>9.9921582517046942E-2</v>
      </c>
      <c r="AS16" s="19"/>
      <c r="AT16" s="19"/>
      <c r="AU16" s="42"/>
      <c r="AV16" s="12"/>
    </row>
    <row r="17" spans="1:48" ht="12.4" customHeight="1" x14ac:dyDescent="0.2">
      <c r="A17" s="121"/>
      <c r="B17" s="143"/>
      <c r="C17" s="62"/>
      <c r="D17" s="70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46"/>
      <c r="S17" s="46"/>
      <c r="T17" s="46"/>
      <c r="U17" s="46"/>
      <c r="V17" s="46"/>
      <c r="W17" s="46"/>
      <c r="X17" s="46"/>
      <c r="AC17" s="48">
        <f ca="1">FORECAST(200,OFFSET(L$17,MATCH(200,L$18:L136, 1),-9,2,1),OFFSET(L$17,MATCH(200,L$18:L136, 1),0,2,1))</f>
        <v>0.29921084380670238</v>
      </c>
      <c r="AN17" s="104">
        <f>E81</f>
        <v>0.21382833095716333</v>
      </c>
      <c r="AO17" s="104">
        <f>$B81</f>
        <v>0.58873786407766993</v>
      </c>
      <c r="AP17" s="104">
        <f t="shared" si="0"/>
        <v>0.15048543689320387</v>
      </c>
      <c r="AR17" s="19">
        <v>0.25452110435346964</v>
      </c>
      <c r="AS17" s="19"/>
      <c r="AT17" s="19"/>
      <c r="AU17" s="42"/>
      <c r="AV17" s="12"/>
    </row>
    <row r="18" spans="1:48" ht="12.4" customHeight="1" x14ac:dyDescent="0.2">
      <c r="A18" s="121">
        <v>1.5079505443572998</v>
      </c>
      <c r="B18" s="143">
        <v>0</v>
      </c>
      <c r="C18" s="143">
        <f t="shared" ref="C18:C136" si="1">1-B18</f>
        <v>1</v>
      </c>
      <c r="D18" s="16">
        <f t="shared" ref="D18:D136" si="2">B18-B17</f>
        <v>0</v>
      </c>
      <c r="E18" s="3">
        <f>(2*Table!$AC$16*0.147)/A18</f>
        <v>60.781227612652074</v>
      </c>
      <c r="F18" s="3">
        <f t="shared" ref="F18:F136" si="3">E18*2</f>
        <v>121.56245522530415</v>
      </c>
      <c r="G18" s="121">
        <f>IF((('Raw Data'!C18)/('Raw Data'!C$136)*100)&lt;0,0,('Raw Data'!C18)/('Raw Data'!C$136)*100)</f>
        <v>0</v>
      </c>
      <c r="H18" s="121">
        <f t="shared" ref="H18:H136" si="4">G18-G17</f>
        <v>0</v>
      </c>
      <c r="I18" s="118">
        <f t="shared" ref="I18:I136" si="5">IF(E17&gt;0,LOG(E17)-LOG(E18), LOG(E18))</f>
        <v>1.7837694673796043</v>
      </c>
      <c r="J18" s="3">
        <f>'Raw Data'!F18/I18</f>
        <v>0</v>
      </c>
      <c r="K18" s="27">
        <f t="shared" ref="K18:K136" si="6">(0.2166095*A18*(SQRT(P$9/P$10)))/(485*-COS(RADIANS(130)))</f>
        <v>2.9353670630806739E-3</v>
      </c>
      <c r="L18" s="121">
        <f>A18*Table!$AC$9/$AC$16</f>
        <v>0.33859138435229819</v>
      </c>
      <c r="M18" s="121">
        <f>A18*Table!$AD$9/$AC$16</f>
        <v>0.11608847463507367</v>
      </c>
      <c r="N18" s="121">
        <f>ABS(A18*Table!$AE$9/$AC$16)</f>
        <v>0.14661437017581555</v>
      </c>
      <c r="O18" s="121">
        <f>($L18*(Table!$AC$10/Table!$AC$9)/(Table!$AC$12-Table!$AC$14))</f>
        <v>0.72627924571492541</v>
      </c>
      <c r="P18" s="121">
        <f>ROUND(($N18*(Table!$AE$10/Table!$AE$9)/(Table!$AC$12-Table!$AC$13)),2)</f>
        <v>1.2</v>
      </c>
      <c r="Q18" s="121">
        <f>'Raw Data'!C18</f>
        <v>0</v>
      </c>
      <c r="R18" s="121">
        <f>'Raw Data'!C18/'Raw Data'!I$30*100</f>
        <v>0</v>
      </c>
      <c r="S18" s="156">
        <f t="shared" ref="S18:S136" si="7">D18/MAX($D$18:$D$136)</f>
        <v>0</v>
      </c>
      <c r="T18" s="156">
        <f t="shared" ref="T18:T136" si="8">1-(X18/$X$136)</f>
        <v>1</v>
      </c>
      <c r="U18" s="29">
        <f t="shared" ref="U18:U136" si="9">R18/A18</f>
        <v>0</v>
      </c>
      <c r="V18" s="29">
        <f t="shared" ref="V18:V136" si="10">(U18^1.691)*399</f>
        <v>0</v>
      </c>
      <c r="W18" s="29">
        <f t="shared" ref="W18:W136" si="11">((E18*E18)/8)*S18</f>
        <v>0</v>
      </c>
      <c r="X18" s="93">
        <f t="shared" ref="X18:X136" si="12">W18+X17</f>
        <v>0</v>
      </c>
      <c r="Z18" s="56"/>
      <c r="AA18" s="62"/>
      <c r="AB18" s="62"/>
      <c r="AC18" s="129"/>
      <c r="AN18" s="104">
        <f>E73</f>
        <v>0.43938336948763634</v>
      </c>
      <c r="AO18" s="104">
        <f>$B73</f>
        <v>0.43825242718446605</v>
      </c>
      <c r="AP18" s="104">
        <f t="shared" si="0"/>
        <v>0.27546925566343045</v>
      </c>
      <c r="AR18" s="19">
        <v>0.47874420207019219</v>
      </c>
      <c r="AS18" s="19"/>
      <c r="AT18" s="19"/>
      <c r="AU18" s="42"/>
      <c r="AV18" s="12"/>
    </row>
    <row r="19" spans="1:48" ht="12.4" customHeight="1" x14ac:dyDescent="0.2">
      <c r="A19" s="121">
        <v>1.5989933013916016</v>
      </c>
      <c r="B19" s="143">
        <v>0</v>
      </c>
      <c r="C19" s="143">
        <f t="shared" si="1"/>
        <v>1</v>
      </c>
      <c r="D19" s="16">
        <f t="shared" si="2"/>
        <v>0</v>
      </c>
      <c r="E19" s="3">
        <f>(2*Table!$AC$16*0.147)/A19</f>
        <v>57.320493578951428</v>
      </c>
      <c r="F19" s="3">
        <f t="shared" si="3"/>
        <v>114.64098715790286</v>
      </c>
      <c r="G19" s="121">
        <f>IF((('Raw Data'!C19)/('Raw Data'!C$136)*100)&lt;0,0,('Raw Data'!C19)/('Raw Data'!C$136)*100)</f>
        <v>0</v>
      </c>
      <c r="H19" s="121">
        <f t="shared" si="4"/>
        <v>0</v>
      </c>
      <c r="I19" s="118">
        <f t="shared" si="5"/>
        <v>2.5459545987652543E-2</v>
      </c>
      <c r="J19" s="3">
        <f>'Raw Data'!F19/I19</f>
        <v>0</v>
      </c>
      <c r="K19" s="27">
        <f t="shared" si="6"/>
        <v>3.1125903223782436E-3</v>
      </c>
      <c r="L19" s="121">
        <f>A19*Table!$AC$9/$AC$16</f>
        <v>0.35903389372692268</v>
      </c>
      <c r="M19" s="121">
        <f>A19*Table!$AD$9/$AC$16</f>
        <v>0.12309733499208778</v>
      </c>
      <c r="N19" s="121">
        <f>ABS(A19*Table!$AE$9/$AC$16)</f>
        <v>0.15546623639357873</v>
      </c>
      <c r="O19" s="121">
        <f>($L19*(Table!$AC$10/Table!$AC$9)/(Table!$AC$12-Table!$AC$14))</f>
        <v>0.77012847217272151</v>
      </c>
      <c r="P19" s="121">
        <f>ROUND(($N19*(Table!$AE$10/Table!$AE$9)/(Table!$AC$12-Table!$AC$13)),2)</f>
        <v>1.28</v>
      </c>
      <c r="Q19" s="121">
        <f>'Raw Data'!C19</f>
        <v>0</v>
      </c>
      <c r="R19" s="121">
        <f>'Raw Data'!C19/'Raw Data'!I$30*100</f>
        <v>0</v>
      </c>
      <c r="S19" s="156">
        <f t="shared" si="7"/>
        <v>0</v>
      </c>
      <c r="T19" s="156">
        <f t="shared" si="8"/>
        <v>1</v>
      </c>
      <c r="U19" s="29">
        <f t="shared" si="9"/>
        <v>0</v>
      </c>
      <c r="V19" s="29">
        <f t="shared" si="10"/>
        <v>0</v>
      </c>
      <c r="W19" s="29">
        <f t="shared" si="11"/>
        <v>0</v>
      </c>
      <c r="X19" s="93">
        <f t="shared" si="12"/>
        <v>0</v>
      </c>
      <c r="AN19" s="104">
        <f>E68</f>
        <v>0.68992720068892543</v>
      </c>
      <c r="AO19" s="104">
        <f>$B68</f>
        <v>0.16278317152103561</v>
      </c>
      <c r="AP19" s="104">
        <f t="shared" si="0"/>
        <v>0.14873786407766992</v>
      </c>
      <c r="AR19" s="19">
        <v>0.74938444802644799</v>
      </c>
      <c r="AS19" s="19"/>
      <c r="AT19" s="19"/>
      <c r="AU19" s="42"/>
      <c r="AV19" s="12"/>
    </row>
    <row r="20" spans="1:48" ht="12.4" customHeight="1" x14ac:dyDescent="0.2">
      <c r="A20" s="121">
        <v>1.8068345785140991</v>
      </c>
      <c r="B20" s="143">
        <v>0</v>
      </c>
      <c r="C20" s="143">
        <f t="shared" si="1"/>
        <v>1</v>
      </c>
      <c r="D20" s="16">
        <f t="shared" si="2"/>
        <v>0</v>
      </c>
      <c r="E20" s="3">
        <f>(2*Table!$AC$16*0.147)/A20</f>
        <v>50.72688244685839</v>
      </c>
      <c r="F20" s="3">
        <f t="shared" si="3"/>
        <v>101.45376489371678</v>
      </c>
      <c r="G20" s="121">
        <f>IF((('Raw Data'!C20)/('Raw Data'!C$136)*100)&lt;0,0,('Raw Data'!C20)/('Raw Data'!C$136)*100)</f>
        <v>0</v>
      </c>
      <c r="H20" s="121">
        <f t="shared" si="4"/>
        <v>0</v>
      </c>
      <c r="I20" s="118">
        <f t="shared" si="5"/>
        <v>5.3071748956874165E-2</v>
      </c>
      <c r="J20" s="3">
        <f>'Raw Data'!F20/I20</f>
        <v>0</v>
      </c>
      <c r="K20" s="27">
        <f t="shared" si="6"/>
        <v>3.5171728476453622E-3</v>
      </c>
      <c r="L20" s="121">
        <f>A20*Table!$AC$9/$AC$16</f>
        <v>0.40570204608098392</v>
      </c>
      <c r="M20" s="121">
        <f>A20*Table!$AD$9/$AC$16</f>
        <v>0.13909784437062306</v>
      </c>
      <c r="N20" s="121">
        <f>ABS(A20*Table!$AE$9/$AC$16)</f>
        <v>0.17567413913672855</v>
      </c>
      <c r="O20" s="121">
        <f>($L20*(Table!$AC$10/Table!$AC$9)/(Table!$AC$12-Table!$AC$14))</f>
        <v>0.87023175907546968</v>
      </c>
      <c r="P20" s="121">
        <f>ROUND(($N20*(Table!$AE$10/Table!$AE$9)/(Table!$AC$12-Table!$AC$13)),2)</f>
        <v>1.44</v>
      </c>
      <c r="Q20" s="121">
        <f>'Raw Data'!C20</f>
        <v>0</v>
      </c>
      <c r="R20" s="121">
        <f>'Raw Data'!C20/'Raw Data'!I$30*100</f>
        <v>0</v>
      </c>
      <c r="S20" s="156">
        <f t="shared" si="7"/>
        <v>0</v>
      </c>
      <c r="T20" s="156">
        <f t="shared" si="8"/>
        <v>1</v>
      </c>
      <c r="U20" s="29">
        <f t="shared" si="9"/>
        <v>0</v>
      </c>
      <c r="V20" s="29">
        <f t="shared" si="10"/>
        <v>0</v>
      </c>
      <c r="W20" s="29">
        <f t="shared" si="11"/>
        <v>0</v>
      </c>
      <c r="X20" s="93">
        <f t="shared" si="12"/>
        <v>0</v>
      </c>
      <c r="AN20" s="31">
        <f>E64</f>
        <v>0.99764580470774644</v>
      </c>
      <c r="AO20" s="104">
        <f>$B64</f>
        <v>1.4045307443365697E-2</v>
      </c>
      <c r="AP20" s="104">
        <f t="shared" si="0"/>
        <v>1.3592233009708739E-2</v>
      </c>
      <c r="AR20" s="122">
        <v>1.0742552826940897</v>
      </c>
      <c r="AS20" s="19"/>
      <c r="AT20" s="19"/>
      <c r="AU20" s="42"/>
      <c r="AV20" s="12"/>
    </row>
    <row r="21" spans="1:48" ht="12.4" customHeight="1" x14ac:dyDescent="0.2">
      <c r="A21" s="121">
        <v>2.0094594955444336</v>
      </c>
      <c r="B21" s="143">
        <v>0</v>
      </c>
      <c r="C21" s="143">
        <f t="shared" si="1"/>
        <v>1</v>
      </c>
      <c r="D21" s="16">
        <f t="shared" si="2"/>
        <v>0</v>
      </c>
      <c r="E21" s="3">
        <f>(2*Table!$AC$16*0.147)/A21</f>
        <v>45.611810274568903</v>
      </c>
      <c r="F21" s="3">
        <f t="shared" si="3"/>
        <v>91.223620549137806</v>
      </c>
      <c r="G21" s="121">
        <f>IF((('Raw Data'!C21)/('Raw Data'!C$136)*100)&lt;0,0,('Raw Data'!C21)/('Raw Data'!C$136)*100)</f>
        <v>0</v>
      </c>
      <c r="H21" s="121">
        <f t="shared" si="4"/>
        <v>0</v>
      </c>
      <c r="I21" s="118">
        <f t="shared" si="5"/>
        <v>4.6160863258065676E-2</v>
      </c>
      <c r="J21" s="3">
        <f>'Raw Data'!F21/I21</f>
        <v>0</v>
      </c>
      <c r="K21" s="27">
        <f t="shared" si="6"/>
        <v>3.9116012391041798E-3</v>
      </c>
      <c r="L21" s="121">
        <f>A21*Table!$AC$9/$AC$16</f>
        <v>0.4511989301918693</v>
      </c>
      <c r="M21" s="121">
        <f>A21*Table!$AD$9/$AC$16</f>
        <v>0.15469677606578375</v>
      </c>
      <c r="N21" s="121">
        <f>ABS(A21*Table!$AE$9/$AC$16)</f>
        <v>0.19537486785326019</v>
      </c>
      <c r="O21" s="121">
        <f>($L21*(Table!$AC$10/Table!$AC$9)/(Table!$AC$12-Table!$AC$14))</f>
        <v>0.96782267308423287</v>
      </c>
      <c r="P21" s="121">
        <f>ROUND(($N21*(Table!$AE$10/Table!$AE$9)/(Table!$AC$12-Table!$AC$13)),2)</f>
        <v>1.6</v>
      </c>
      <c r="Q21" s="121">
        <f>'Raw Data'!C21</f>
        <v>0</v>
      </c>
      <c r="R21" s="121">
        <f>'Raw Data'!C21/'Raw Data'!I$30*100</f>
        <v>0</v>
      </c>
      <c r="S21" s="156">
        <f t="shared" si="7"/>
        <v>0</v>
      </c>
      <c r="T21" s="156">
        <f t="shared" si="8"/>
        <v>1</v>
      </c>
      <c r="U21" s="29">
        <f t="shared" si="9"/>
        <v>0</v>
      </c>
      <c r="V21" s="29">
        <f t="shared" si="10"/>
        <v>0</v>
      </c>
      <c r="W21" s="29">
        <f t="shared" si="11"/>
        <v>0</v>
      </c>
      <c r="X21" s="93">
        <f t="shared" si="12"/>
        <v>0</v>
      </c>
      <c r="AN21" s="31">
        <f>$E55</f>
        <v>2.1995614826726708</v>
      </c>
      <c r="AO21" s="104">
        <f>$B55</f>
        <v>4.5307443365695792E-4</v>
      </c>
      <c r="AP21" s="104">
        <f t="shared" si="0"/>
        <v>4.5307443365695792E-4</v>
      </c>
      <c r="AR21" s="122">
        <v>2.3818202604521379</v>
      </c>
      <c r="AS21" s="19"/>
      <c r="AT21" s="19"/>
      <c r="AU21" s="42"/>
      <c r="AV21" s="12"/>
    </row>
    <row r="22" spans="1:48" ht="12.4" customHeight="1" x14ac:dyDescent="0.2">
      <c r="A22" s="121">
        <v>2.1648108959197998</v>
      </c>
      <c r="B22" s="143">
        <v>0</v>
      </c>
      <c r="C22" s="143">
        <f t="shared" si="1"/>
        <v>1</v>
      </c>
      <c r="D22" s="16">
        <f t="shared" si="2"/>
        <v>0</v>
      </c>
      <c r="E22" s="3">
        <f>(2*Table!$AC$16*0.147)/A22</f>
        <v>42.3386104707592</v>
      </c>
      <c r="F22" s="3">
        <f t="shared" si="3"/>
        <v>84.677220941518399</v>
      </c>
      <c r="G22" s="121">
        <f>IF((('Raw Data'!C22)/('Raw Data'!C$136)*100)&lt;0,0,('Raw Data'!C22)/('Raw Data'!C$136)*100)</f>
        <v>0</v>
      </c>
      <c r="H22" s="121">
        <f t="shared" si="4"/>
        <v>0</v>
      </c>
      <c r="I22" s="118">
        <f t="shared" si="5"/>
        <v>3.2340708558906917E-2</v>
      </c>
      <c r="J22" s="3">
        <f>'Raw Data'!F22/I22</f>
        <v>0</v>
      </c>
      <c r="K22" s="27">
        <f t="shared" si="6"/>
        <v>4.2140072998146554E-3</v>
      </c>
      <c r="L22" s="121">
        <f>A22*Table!$AC$9/$AC$16</f>
        <v>0.48608113896920169</v>
      </c>
      <c r="M22" s="121">
        <f>A22*Table!$AD$9/$AC$16</f>
        <v>0.1666563905037263</v>
      </c>
      <c r="N22" s="121">
        <f>ABS(A22*Table!$AE$9/$AC$16)</f>
        <v>0.21047930732390135</v>
      </c>
      <c r="O22" s="121">
        <f>($L22*(Table!$AC$10/Table!$AC$9)/(Table!$AC$12-Table!$AC$14))</f>
        <v>1.0426450857340235</v>
      </c>
      <c r="P22" s="121">
        <f>ROUND(($N22*(Table!$AE$10/Table!$AE$9)/(Table!$AC$12-Table!$AC$13)),2)</f>
        <v>1.73</v>
      </c>
      <c r="Q22" s="121">
        <f>'Raw Data'!C22</f>
        <v>0</v>
      </c>
      <c r="R22" s="121">
        <f>'Raw Data'!C22/'Raw Data'!I$30*100</f>
        <v>0</v>
      </c>
      <c r="S22" s="156">
        <f t="shared" si="7"/>
        <v>0</v>
      </c>
      <c r="T22" s="156">
        <f t="shared" si="8"/>
        <v>1</v>
      </c>
      <c r="U22" s="29">
        <f t="shared" si="9"/>
        <v>0</v>
      </c>
      <c r="V22" s="29">
        <f t="shared" si="10"/>
        <v>0</v>
      </c>
      <c r="W22" s="29">
        <f t="shared" si="11"/>
        <v>0</v>
      </c>
      <c r="X22" s="93">
        <f t="shared" si="12"/>
        <v>0</v>
      </c>
      <c r="AN22" s="31">
        <f>$E47</f>
        <v>4.5224574755300599</v>
      </c>
      <c r="AO22" s="104">
        <f>$B47</f>
        <v>0</v>
      </c>
      <c r="AP22" s="104">
        <f t="shared" si="0"/>
        <v>0</v>
      </c>
      <c r="AR22" s="122">
        <v>4.9092259390712378</v>
      </c>
      <c r="AS22" s="19"/>
      <c r="AT22" s="19"/>
      <c r="AU22" s="42"/>
      <c r="AV22" s="12"/>
    </row>
    <row r="23" spans="1:48" ht="12.4" customHeight="1" x14ac:dyDescent="0.2">
      <c r="A23" s="121">
        <v>2.3579812049865723</v>
      </c>
      <c r="B23" s="143">
        <v>0</v>
      </c>
      <c r="C23" s="143">
        <f t="shared" si="1"/>
        <v>1</v>
      </c>
      <c r="D23" s="16">
        <f t="shared" si="2"/>
        <v>0</v>
      </c>
      <c r="E23" s="3">
        <f>(2*Table!$AC$16*0.147)/A23</f>
        <v>38.870150903397715</v>
      </c>
      <c r="F23" s="3">
        <f t="shared" si="3"/>
        <v>77.740301806795429</v>
      </c>
      <c r="G23" s="121">
        <f>IF((('Raw Data'!C23)/('Raw Data'!C$136)*100)&lt;0,0,('Raw Data'!C23)/('Raw Data'!C$136)*100)</f>
        <v>0</v>
      </c>
      <c r="H23" s="121">
        <f t="shared" si="4"/>
        <v>0</v>
      </c>
      <c r="I23" s="118">
        <f t="shared" si="5"/>
        <v>3.7120373946557761E-2</v>
      </c>
      <c r="J23" s="3">
        <f>'Raw Data'!F23/I23</f>
        <v>0</v>
      </c>
      <c r="K23" s="27">
        <f t="shared" si="6"/>
        <v>4.5900314107654482E-3</v>
      </c>
      <c r="L23" s="121">
        <f>A23*Table!$AC$9/$AC$16</f>
        <v>0.5294551094269373</v>
      </c>
      <c r="M23" s="121">
        <f>A23*Table!$AD$9/$AC$16</f>
        <v>0.18152746608923562</v>
      </c>
      <c r="N23" s="121">
        <f>ABS(A23*Table!$AE$9/$AC$16)</f>
        <v>0.22926078746359874</v>
      </c>
      <c r="O23" s="121">
        <f>($L23*(Table!$AC$10/Table!$AC$9)/(Table!$AC$12-Table!$AC$14))</f>
        <v>1.135682345403126</v>
      </c>
      <c r="P23" s="121">
        <f>ROUND(($N23*(Table!$AE$10/Table!$AE$9)/(Table!$AC$12-Table!$AC$13)),2)</f>
        <v>1.88</v>
      </c>
      <c r="Q23" s="121">
        <f>'Raw Data'!C23</f>
        <v>0</v>
      </c>
      <c r="R23" s="121">
        <f>'Raw Data'!C23/'Raw Data'!I$30*100</f>
        <v>0</v>
      </c>
      <c r="S23" s="156">
        <f t="shared" si="7"/>
        <v>0</v>
      </c>
      <c r="T23" s="156">
        <f t="shared" si="8"/>
        <v>1</v>
      </c>
      <c r="U23" s="29">
        <f t="shared" si="9"/>
        <v>0</v>
      </c>
      <c r="V23" s="29">
        <f t="shared" si="10"/>
        <v>0</v>
      </c>
      <c r="W23" s="29">
        <f t="shared" si="11"/>
        <v>0</v>
      </c>
      <c r="X23" s="93">
        <f t="shared" si="12"/>
        <v>0</v>
      </c>
      <c r="AN23" s="31">
        <f>$E42</f>
        <v>7.1138420144988572</v>
      </c>
      <c r="AO23" s="104">
        <f>$B42</f>
        <v>0</v>
      </c>
      <c r="AP23" s="104">
        <f t="shared" si="0"/>
        <v>0</v>
      </c>
      <c r="AR23" s="122">
        <v>7.6545393934362336</v>
      </c>
      <c r="AS23" s="19"/>
      <c r="AT23" s="19"/>
      <c r="AU23" s="42"/>
      <c r="AV23" s="12"/>
    </row>
    <row r="24" spans="1:48" ht="12.4" customHeight="1" x14ac:dyDescent="0.2">
      <c r="A24" s="121">
        <v>2.5763368606567383</v>
      </c>
      <c r="B24" s="143">
        <v>0</v>
      </c>
      <c r="C24" s="143">
        <f t="shared" si="1"/>
        <v>1</v>
      </c>
      <c r="D24" s="16">
        <f t="shared" si="2"/>
        <v>0</v>
      </c>
      <c r="E24" s="3">
        <f>(2*Table!$AC$16*0.147)/A24</f>
        <v>35.575738042982351</v>
      </c>
      <c r="F24" s="3">
        <f t="shared" si="3"/>
        <v>71.151476085964703</v>
      </c>
      <c r="G24" s="121">
        <f>IF((('Raw Data'!C24)/('Raw Data'!C$136)*100)&lt;0,0,('Raw Data'!C24)/('Raw Data'!C$136)*100)</f>
        <v>0</v>
      </c>
      <c r="H24" s="121">
        <f t="shared" si="4"/>
        <v>0</v>
      </c>
      <c r="I24" s="118">
        <f t="shared" si="5"/>
        <v>3.8462308086136598E-2</v>
      </c>
      <c r="J24" s="3">
        <f>'Raw Data'!F24/I24</f>
        <v>0</v>
      </c>
      <c r="K24" s="27">
        <f t="shared" si="6"/>
        <v>5.0150811593066185E-3</v>
      </c>
      <c r="L24" s="121">
        <f>A24*Table!$AC$9/$AC$16</f>
        <v>0.57848413362880602</v>
      </c>
      <c r="M24" s="121">
        <f>A24*Table!$AD$9/$AC$16</f>
        <v>0.19833741724416207</v>
      </c>
      <c r="N24" s="121">
        <f>ABS(A24*Table!$AE$9/$AC$16)</f>
        <v>0.250490977704389</v>
      </c>
      <c r="O24" s="121">
        <f>($L24*(Table!$AC$10/Table!$AC$9)/(Table!$AC$12-Table!$AC$14))</f>
        <v>1.2408497074834965</v>
      </c>
      <c r="P24" s="121">
        <f>ROUND(($N24*(Table!$AE$10/Table!$AE$9)/(Table!$AC$12-Table!$AC$13)),2)</f>
        <v>2.06</v>
      </c>
      <c r="Q24" s="121">
        <f>'Raw Data'!C24</f>
        <v>0</v>
      </c>
      <c r="R24" s="121">
        <f>'Raw Data'!C24/'Raw Data'!I$30*100</f>
        <v>0</v>
      </c>
      <c r="S24" s="156">
        <f t="shared" si="7"/>
        <v>0</v>
      </c>
      <c r="T24" s="156">
        <f t="shared" si="8"/>
        <v>1</v>
      </c>
      <c r="U24" s="29">
        <f t="shared" si="9"/>
        <v>0</v>
      </c>
      <c r="V24" s="29">
        <f t="shared" si="10"/>
        <v>0</v>
      </c>
      <c r="W24" s="29">
        <f t="shared" si="11"/>
        <v>0</v>
      </c>
      <c r="X24" s="93">
        <f t="shared" si="12"/>
        <v>0</v>
      </c>
      <c r="AN24" s="73">
        <f>$E39</f>
        <v>9.2790059501843363</v>
      </c>
      <c r="AO24" s="104">
        <f>$B39</f>
        <v>0</v>
      </c>
      <c r="AP24" s="104">
        <f t="shared" si="0"/>
        <v>0</v>
      </c>
      <c r="AR24" s="155">
        <v>10.01194107647434</v>
      </c>
      <c r="AS24" s="19"/>
      <c r="AT24" s="19"/>
      <c r="AU24" s="42"/>
      <c r="AV24" s="12"/>
    </row>
    <row r="25" spans="1:48" ht="12.4" customHeight="1" x14ac:dyDescent="0.2">
      <c r="A25" s="121">
        <v>2.8118090629577637</v>
      </c>
      <c r="B25" s="143">
        <v>0</v>
      </c>
      <c r="C25" s="143">
        <f t="shared" si="1"/>
        <v>1</v>
      </c>
      <c r="D25" s="16">
        <f t="shared" si="2"/>
        <v>0</v>
      </c>
      <c r="E25" s="3">
        <f>(2*Table!$AC$16*0.147)/A25</f>
        <v>32.596482624887393</v>
      </c>
      <c r="F25" s="3">
        <f t="shared" si="3"/>
        <v>65.192965249774787</v>
      </c>
      <c r="G25" s="121">
        <f>IF((('Raw Data'!C25)/('Raw Data'!C$136)*100)&lt;0,0,('Raw Data'!C25)/('Raw Data'!C$136)*100)</f>
        <v>0</v>
      </c>
      <c r="H25" s="121">
        <f t="shared" si="4"/>
        <v>0</v>
      </c>
      <c r="I25" s="118">
        <f t="shared" si="5"/>
        <v>3.7983179223515018E-2</v>
      </c>
      <c r="J25" s="3">
        <f>'Raw Data'!F25/I25</f>
        <v>0</v>
      </c>
      <c r="K25" s="27">
        <f t="shared" si="6"/>
        <v>5.4734498700656914E-3</v>
      </c>
      <c r="L25" s="121">
        <f>A25*Table!$AC$9/$AC$16</f>
        <v>0.63135646372738341</v>
      </c>
      <c r="M25" s="121">
        <f>A25*Table!$AD$9/$AC$16</f>
        <v>0.21646507327796002</v>
      </c>
      <c r="N25" s="121">
        <f>ABS(A25*Table!$AE$9/$AC$16)</f>
        <v>0.27338536821571124</v>
      </c>
      <c r="O25" s="121">
        <f>($L25*(Table!$AC$10/Table!$AC$9)/(Table!$AC$12-Table!$AC$14))</f>
        <v>1.3542609689562066</v>
      </c>
      <c r="P25" s="121">
        <f>ROUND(($N25*(Table!$AE$10/Table!$AE$9)/(Table!$AC$12-Table!$AC$13)),2)</f>
        <v>2.2400000000000002</v>
      </c>
      <c r="Q25" s="121">
        <f>'Raw Data'!C25</f>
        <v>0</v>
      </c>
      <c r="R25" s="121">
        <f>'Raw Data'!C25/'Raw Data'!I$30*100</f>
        <v>0</v>
      </c>
      <c r="S25" s="156">
        <f t="shared" si="7"/>
        <v>0</v>
      </c>
      <c r="T25" s="156">
        <f t="shared" si="8"/>
        <v>1</v>
      </c>
      <c r="U25" s="29">
        <f t="shared" si="9"/>
        <v>0</v>
      </c>
      <c r="V25" s="29">
        <f t="shared" si="10"/>
        <v>0</v>
      </c>
      <c r="W25" s="29">
        <f t="shared" si="11"/>
        <v>0</v>
      </c>
      <c r="X25" s="93">
        <f t="shared" si="12"/>
        <v>0</v>
      </c>
      <c r="AN25" s="73">
        <f>$E29</f>
        <v>22.693604123131678</v>
      </c>
      <c r="AO25" s="104">
        <f>$B29</f>
        <v>0</v>
      </c>
      <c r="AP25" s="104">
        <f t="shared" si="0"/>
        <v>0</v>
      </c>
      <c r="AR25" s="155">
        <v>23.954008145687514</v>
      </c>
      <c r="AS25" s="19"/>
      <c r="AT25" s="19"/>
      <c r="AU25" s="42"/>
      <c r="AV25" s="12"/>
    </row>
    <row r="26" spans="1:48" ht="12.4" customHeight="1" x14ac:dyDescent="0.2">
      <c r="A26" s="121">
        <v>3.0808615684509277</v>
      </c>
      <c r="B26" s="143">
        <v>0</v>
      </c>
      <c r="C26" s="143">
        <f t="shared" si="1"/>
        <v>1</v>
      </c>
      <c r="D26" s="16">
        <f t="shared" si="2"/>
        <v>0</v>
      </c>
      <c r="E26" s="3">
        <f>(2*Table!$AC$16*0.147)/A26</f>
        <v>29.749822648243253</v>
      </c>
      <c r="F26" s="3">
        <f t="shared" si="3"/>
        <v>59.499645296486506</v>
      </c>
      <c r="G26" s="121">
        <f>IF((('Raw Data'!C26)/('Raw Data'!C$136)*100)&lt;0,0,('Raw Data'!C26)/('Raw Data'!C$136)*100)</f>
        <v>0</v>
      </c>
      <c r="H26" s="121">
        <f t="shared" si="4"/>
        <v>0</v>
      </c>
      <c r="I26" s="118">
        <f t="shared" si="5"/>
        <v>3.968635830972711E-2</v>
      </c>
      <c r="J26" s="3">
        <f>'Raw Data'!F26/I26</f>
        <v>0</v>
      </c>
      <c r="K26" s="27">
        <f t="shared" si="6"/>
        <v>5.9971857882091945E-3</v>
      </c>
      <c r="L26" s="121">
        <f>A26*Table!$AC$9/$AC$16</f>
        <v>0.691768829795537</v>
      </c>
      <c r="M26" s="121">
        <f>A26*Table!$AD$9/$AC$16</f>
        <v>0.23717788450132699</v>
      </c>
      <c r="N26" s="121">
        <f>ABS(A26*Table!$AE$9/$AC$16)</f>
        <v>0.29954469007458429</v>
      </c>
      <c r="O26" s="121">
        <f>($L26*(Table!$AC$10/Table!$AC$9)/(Table!$AC$12-Table!$AC$14))</f>
        <v>1.4838456237570508</v>
      </c>
      <c r="P26" s="121">
        <f>ROUND(($N26*(Table!$AE$10/Table!$AE$9)/(Table!$AC$12-Table!$AC$13)),2)</f>
        <v>2.46</v>
      </c>
      <c r="Q26" s="121">
        <f>'Raw Data'!C26</f>
        <v>0</v>
      </c>
      <c r="R26" s="121">
        <f>'Raw Data'!C26/'Raw Data'!I$30*100</f>
        <v>0</v>
      </c>
      <c r="S26" s="156">
        <f t="shared" si="7"/>
        <v>0</v>
      </c>
      <c r="T26" s="156">
        <f t="shared" si="8"/>
        <v>1</v>
      </c>
      <c r="U26" s="29">
        <f t="shared" si="9"/>
        <v>0</v>
      </c>
      <c r="V26" s="29">
        <f t="shared" si="10"/>
        <v>0</v>
      </c>
      <c r="W26" s="29">
        <f t="shared" si="11"/>
        <v>0</v>
      </c>
      <c r="X26" s="93">
        <f t="shared" si="12"/>
        <v>0</v>
      </c>
      <c r="AN26" s="73">
        <f>$E21</f>
        <v>45.611810274568903</v>
      </c>
      <c r="AO26" s="104">
        <f>$B22</f>
        <v>0</v>
      </c>
      <c r="AP26" s="104">
        <f t="shared" si="0"/>
        <v>0</v>
      </c>
      <c r="AR26" s="155">
        <v>51.76790385987443</v>
      </c>
      <c r="AS26" s="19"/>
      <c r="AT26" s="19"/>
      <c r="AU26" s="42"/>
      <c r="AV26" s="12"/>
    </row>
    <row r="27" spans="1:48" ht="12.4" customHeight="1" x14ac:dyDescent="0.2">
      <c r="A27" s="121">
        <v>3.3865108489990234</v>
      </c>
      <c r="B27" s="143">
        <v>0</v>
      </c>
      <c r="C27" s="143">
        <f t="shared" si="1"/>
        <v>1</v>
      </c>
      <c r="D27" s="16">
        <f t="shared" si="2"/>
        <v>0</v>
      </c>
      <c r="E27" s="3">
        <f>(2*Table!$AC$16*0.147)/A27</f>
        <v>27.064754655162208</v>
      </c>
      <c r="F27" s="3">
        <f t="shared" si="3"/>
        <v>54.129509310324416</v>
      </c>
      <c r="G27" s="121">
        <f>IF((('Raw Data'!C27)/('Raw Data'!C$136)*100)&lt;0,0,('Raw Data'!C27)/('Raw Data'!C$136)*100)</f>
        <v>0</v>
      </c>
      <c r="H27" s="121">
        <f t="shared" si="4"/>
        <v>0</v>
      </c>
      <c r="I27" s="118">
        <f t="shared" si="5"/>
        <v>4.1080286532243937E-2</v>
      </c>
      <c r="J27" s="3">
        <f>'Raw Data'!F27/I27</f>
        <v>0</v>
      </c>
      <c r="K27" s="27">
        <f t="shared" si="6"/>
        <v>6.5921607589285265E-3</v>
      </c>
      <c r="L27" s="121">
        <f>A27*Table!$AC$9/$AC$16</f>
        <v>0.76039854276213303</v>
      </c>
      <c r="M27" s="121">
        <f>A27*Table!$AD$9/$AC$16</f>
        <v>0.26070807180415989</v>
      </c>
      <c r="N27" s="121">
        <f>ABS(A27*Table!$AE$9/$AC$16)</f>
        <v>0.32926222751633755</v>
      </c>
      <c r="O27" s="121">
        <f>($L27*(Table!$AC$10/Table!$AC$9)/(Table!$AC$12-Table!$AC$14))</f>
        <v>1.6310565052812807</v>
      </c>
      <c r="P27" s="121">
        <f>ROUND(($N27*(Table!$AE$10/Table!$AE$9)/(Table!$AC$12-Table!$AC$13)),2)</f>
        <v>2.7</v>
      </c>
      <c r="Q27" s="121">
        <f>'Raw Data'!C27</f>
        <v>0</v>
      </c>
      <c r="R27" s="121">
        <f>'Raw Data'!C27/'Raw Data'!I$30*100</f>
        <v>0</v>
      </c>
      <c r="S27" s="156">
        <f t="shared" si="7"/>
        <v>0</v>
      </c>
      <c r="T27" s="156">
        <f t="shared" si="8"/>
        <v>1</v>
      </c>
      <c r="U27" s="29">
        <f t="shared" si="9"/>
        <v>0</v>
      </c>
      <c r="V27" s="29">
        <f t="shared" si="10"/>
        <v>0</v>
      </c>
      <c r="W27" s="29">
        <f t="shared" si="11"/>
        <v>0</v>
      </c>
      <c r="X27" s="93">
        <f t="shared" si="12"/>
        <v>0</v>
      </c>
      <c r="AN27" s="73">
        <f>$E18</f>
        <v>60.781227612652074</v>
      </c>
      <c r="AO27" s="104">
        <f>$B18</f>
        <v>0</v>
      </c>
      <c r="AP27" s="104">
        <f t="shared" si="0"/>
        <v>0</v>
      </c>
      <c r="AR27" s="155">
        <v>72.33793188366559</v>
      </c>
      <c r="AS27" s="19"/>
      <c r="AT27" s="19"/>
      <c r="AU27" s="42"/>
      <c r="AV27" s="12"/>
    </row>
    <row r="28" spans="1:48" ht="12.4" customHeight="1" x14ac:dyDescent="0.2">
      <c r="A28" s="121">
        <v>3.6919970512390137</v>
      </c>
      <c r="B28" s="143">
        <v>0</v>
      </c>
      <c r="C28" s="143">
        <f t="shared" si="1"/>
        <v>1</v>
      </c>
      <c r="D28" s="16">
        <f t="shared" si="2"/>
        <v>0</v>
      </c>
      <c r="E28" s="3">
        <f>(2*Table!$AC$16*0.147)/A28</f>
        <v>24.825340863813718</v>
      </c>
      <c r="F28" s="3">
        <f t="shared" si="3"/>
        <v>49.650681727627436</v>
      </c>
      <c r="G28" s="121">
        <f>IF((('Raw Data'!C28)/('Raw Data'!C$136)*100)&lt;0,0,('Raw Data'!C28)/('Raw Data'!C$136)*100)</f>
        <v>0</v>
      </c>
      <c r="H28" s="121">
        <f t="shared" si="4"/>
        <v>0</v>
      </c>
      <c r="I28" s="118">
        <f t="shared" si="5"/>
        <v>3.7508874240438361E-2</v>
      </c>
      <c r="J28" s="3">
        <f>'Raw Data'!F28/I28</f>
        <v>0</v>
      </c>
      <c r="K28" s="27">
        <f t="shared" si="6"/>
        <v>7.1868182824370687E-3</v>
      </c>
      <c r="L28" s="121">
        <f>A28*Table!$AC$9/$AC$16</f>
        <v>0.82899163853971991</v>
      </c>
      <c r="M28" s="121">
        <f>A28*Table!$AD$9/$AC$16</f>
        <v>0.28422570464218966</v>
      </c>
      <c r="N28" s="121">
        <f>ABS(A28*Table!$AE$9/$AC$16)</f>
        <v>0.35896390925014215</v>
      </c>
      <c r="O28" s="121">
        <f>($L28*(Table!$AC$10/Table!$AC$9)/(Table!$AC$12-Table!$AC$14))</f>
        <v>1.7781888428565422</v>
      </c>
      <c r="P28" s="121">
        <f>ROUND(($N28*(Table!$AE$10/Table!$AE$9)/(Table!$AC$12-Table!$AC$13)),2)</f>
        <v>2.95</v>
      </c>
      <c r="Q28" s="121">
        <f>'Raw Data'!C28</f>
        <v>0</v>
      </c>
      <c r="R28" s="121">
        <f>'Raw Data'!C28/'Raw Data'!I$30*100</f>
        <v>0</v>
      </c>
      <c r="S28" s="156">
        <f t="shared" si="7"/>
        <v>0</v>
      </c>
      <c r="T28" s="156">
        <f t="shared" si="8"/>
        <v>1</v>
      </c>
      <c r="U28" s="29">
        <f t="shared" si="9"/>
        <v>0</v>
      </c>
      <c r="V28" s="29">
        <f t="shared" si="10"/>
        <v>0</v>
      </c>
      <c r="W28" s="29">
        <f t="shared" si="11"/>
        <v>0</v>
      </c>
      <c r="X28" s="93">
        <f t="shared" si="12"/>
        <v>0</v>
      </c>
      <c r="AN28" s="113"/>
      <c r="AO28" s="104"/>
      <c r="AP28" s="104"/>
      <c r="AS28" s="19"/>
      <c r="AT28" s="19"/>
      <c r="AU28" s="12"/>
      <c r="AV28" s="12"/>
    </row>
    <row r="29" spans="1:48" ht="12.4" customHeight="1" x14ac:dyDescent="0.2">
      <c r="A29" s="121">
        <v>4.0388069152832031</v>
      </c>
      <c r="B29" s="143">
        <v>0</v>
      </c>
      <c r="C29" s="143">
        <f t="shared" si="1"/>
        <v>1</v>
      </c>
      <c r="D29" s="16">
        <f t="shared" si="2"/>
        <v>0</v>
      </c>
      <c r="E29" s="3">
        <f>(2*Table!$AC$16*0.147)/A29</f>
        <v>22.693604123131678</v>
      </c>
      <c r="F29" s="3">
        <f t="shared" si="3"/>
        <v>45.387208246263356</v>
      </c>
      <c r="G29" s="121">
        <f>IF((('Raw Data'!C29)/('Raw Data'!C$136)*100)&lt;0,0,('Raw Data'!C29)/('Raw Data'!C$136)*100)</f>
        <v>0</v>
      </c>
      <c r="H29" s="121">
        <f t="shared" si="4"/>
        <v>0</v>
      </c>
      <c r="I29" s="118">
        <f t="shared" si="5"/>
        <v>3.8991745704042069E-2</v>
      </c>
      <c r="J29" s="3">
        <f>'Raw Data'!F29/I29</f>
        <v>0</v>
      </c>
      <c r="K29" s="27">
        <f t="shared" si="6"/>
        <v>7.8619161865932582E-3</v>
      </c>
      <c r="L29" s="121">
        <f>A29*Table!$AC$9/$AC$16</f>
        <v>0.90686344435799537</v>
      </c>
      <c r="M29" s="121">
        <f>A29*Table!$AD$9/$AC$16</f>
        <v>0.31092460949416983</v>
      </c>
      <c r="N29" s="121">
        <f>ABS(A29*Table!$AE$9/$AC$16)</f>
        <v>0.39268339028873989</v>
      </c>
      <c r="O29" s="121">
        <f>($L29*(Table!$AC$10/Table!$AC$9)/(Table!$AC$12-Table!$AC$14))</f>
        <v>1.9452240333719337</v>
      </c>
      <c r="P29" s="121">
        <f>ROUND(($N29*(Table!$AE$10/Table!$AE$9)/(Table!$AC$12-Table!$AC$13)),2)</f>
        <v>3.22</v>
      </c>
      <c r="Q29" s="121">
        <f>'Raw Data'!C29</f>
        <v>0</v>
      </c>
      <c r="R29" s="121">
        <f>'Raw Data'!C29/'Raw Data'!I$30*100</f>
        <v>0</v>
      </c>
      <c r="S29" s="156">
        <f t="shared" si="7"/>
        <v>0</v>
      </c>
      <c r="T29" s="156">
        <f t="shared" si="8"/>
        <v>1</v>
      </c>
      <c r="U29" s="29">
        <f t="shared" si="9"/>
        <v>0</v>
      </c>
      <c r="V29" s="29">
        <f t="shared" si="10"/>
        <v>0</v>
      </c>
      <c r="W29" s="29">
        <f t="shared" si="11"/>
        <v>0</v>
      </c>
      <c r="X29" s="93">
        <f t="shared" si="12"/>
        <v>0</v>
      </c>
      <c r="AS29" s="19"/>
      <c r="AT29" s="19"/>
    </row>
    <row r="30" spans="1:48" ht="12.4" customHeight="1" x14ac:dyDescent="0.2">
      <c r="A30" s="121">
        <v>4.4196047782897949</v>
      </c>
      <c r="B30" s="143">
        <v>0</v>
      </c>
      <c r="C30" s="143">
        <f t="shared" si="1"/>
        <v>1</v>
      </c>
      <c r="D30" s="16">
        <f t="shared" si="2"/>
        <v>0</v>
      </c>
      <c r="E30" s="3">
        <f>(2*Table!$AC$16*0.147)/A30</f>
        <v>20.73829897990797</v>
      </c>
      <c r="F30" s="3">
        <f t="shared" si="3"/>
        <v>41.47659795981594</v>
      </c>
      <c r="G30" s="121">
        <f>IF((('Raw Data'!C30)/('Raw Data'!C$136)*100)&lt;0,0,('Raw Data'!C30)/('Raw Data'!C$136)*100)</f>
        <v>0</v>
      </c>
      <c r="H30" s="121">
        <f t="shared" si="4"/>
        <v>0</v>
      </c>
      <c r="I30" s="118">
        <f t="shared" si="5"/>
        <v>3.9130343252208766E-2</v>
      </c>
      <c r="J30" s="3">
        <f>'Raw Data'!F30/I30</f>
        <v>0</v>
      </c>
      <c r="K30" s="27">
        <f t="shared" si="6"/>
        <v>8.6031749161608537E-3</v>
      </c>
      <c r="L30" s="121">
        <f>A30*Table!$AC$9/$AC$16</f>
        <v>0.99236682911837004</v>
      </c>
      <c r="M30" s="121">
        <f>A30*Table!$AD$9/$AC$16</f>
        <v>0.34024005569772686</v>
      </c>
      <c r="N30" s="121">
        <f>ABS(A30*Table!$AE$9/$AC$16)</f>
        <v>0.42970744194475979</v>
      </c>
      <c r="O30" s="121">
        <f>($L30*(Table!$AC$10/Table!$AC$9)/(Table!$AC$12-Table!$AC$14))</f>
        <v>2.1286289770878812</v>
      </c>
      <c r="P30" s="121">
        <f>ROUND(($N30*(Table!$AE$10/Table!$AE$9)/(Table!$AC$12-Table!$AC$13)),2)</f>
        <v>3.53</v>
      </c>
      <c r="Q30" s="121">
        <f>'Raw Data'!C30</f>
        <v>0</v>
      </c>
      <c r="R30" s="121">
        <f>'Raw Data'!C30/'Raw Data'!I$30*100</f>
        <v>0</v>
      </c>
      <c r="S30" s="156">
        <f t="shared" si="7"/>
        <v>0</v>
      </c>
      <c r="T30" s="156">
        <f t="shared" si="8"/>
        <v>1</v>
      </c>
      <c r="U30" s="29">
        <f t="shared" si="9"/>
        <v>0</v>
      </c>
      <c r="V30" s="29">
        <f t="shared" si="10"/>
        <v>0</v>
      </c>
      <c r="W30" s="29">
        <f t="shared" si="11"/>
        <v>0</v>
      </c>
      <c r="X30" s="93">
        <f t="shared" si="12"/>
        <v>0</v>
      </c>
      <c r="AS30" s="19"/>
      <c r="AT30" s="19"/>
    </row>
    <row r="31" spans="1:48" ht="12.4" customHeight="1" x14ac:dyDescent="0.2">
      <c r="A31" s="121">
        <v>4.8204536437988281</v>
      </c>
      <c r="B31" s="143">
        <v>0</v>
      </c>
      <c r="C31" s="143">
        <f t="shared" si="1"/>
        <v>1</v>
      </c>
      <c r="D31" s="16">
        <f t="shared" si="2"/>
        <v>0</v>
      </c>
      <c r="E31" s="3">
        <f>(2*Table!$AC$16*0.147)/A31</f>
        <v>19.013788335691476</v>
      </c>
      <c r="F31" s="3">
        <f t="shared" si="3"/>
        <v>38.027576671382953</v>
      </c>
      <c r="G31" s="121">
        <f>IF((('Raw Data'!C31)/('Raw Data'!C$136)*100)&lt;0,0,('Raw Data'!C31)/('Raw Data'!C$136)*100)</f>
        <v>0</v>
      </c>
      <c r="H31" s="121">
        <f t="shared" si="4"/>
        <v>0</v>
      </c>
      <c r="I31" s="118">
        <f t="shared" si="5"/>
        <v>3.770447635289198E-2</v>
      </c>
      <c r="J31" s="3">
        <f>'Raw Data'!F31/I31</f>
        <v>0</v>
      </c>
      <c r="K31" s="27">
        <f t="shared" si="6"/>
        <v>9.3834648013241383E-3</v>
      </c>
      <c r="L31" s="121">
        <f>A31*Table!$AC$9/$AC$16</f>
        <v>1.0823724150420109</v>
      </c>
      <c r="M31" s="121">
        <f>A31*Table!$AD$9/$AC$16</f>
        <v>0.37109911372868942</v>
      </c>
      <c r="N31" s="121">
        <f>ABS(A31*Table!$AE$9/$AC$16)</f>
        <v>0.46868100389094769</v>
      </c>
      <c r="O31" s="121">
        <f>($L31*(Table!$AC$10/Table!$AC$9)/(Table!$AC$12-Table!$AC$14))</f>
        <v>2.3216911519562657</v>
      </c>
      <c r="P31" s="121">
        <f>ROUND(($N31*(Table!$AE$10/Table!$AE$9)/(Table!$AC$12-Table!$AC$13)),2)</f>
        <v>3.85</v>
      </c>
      <c r="Q31" s="121">
        <f>'Raw Data'!C31</f>
        <v>0</v>
      </c>
      <c r="R31" s="121">
        <f>'Raw Data'!C31/'Raw Data'!I$30*100</f>
        <v>0</v>
      </c>
      <c r="S31" s="156">
        <f t="shared" si="7"/>
        <v>0</v>
      </c>
      <c r="T31" s="156">
        <f t="shared" si="8"/>
        <v>1</v>
      </c>
      <c r="U31" s="29">
        <f t="shared" si="9"/>
        <v>0</v>
      </c>
      <c r="V31" s="29">
        <f t="shared" si="10"/>
        <v>0</v>
      </c>
      <c r="W31" s="29">
        <f t="shared" si="11"/>
        <v>0</v>
      </c>
      <c r="X31" s="93">
        <f t="shared" si="12"/>
        <v>0</v>
      </c>
      <c r="AS31" s="19"/>
      <c r="AT31" s="19"/>
    </row>
    <row r="32" spans="1:48" ht="12.4" customHeight="1" x14ac:dyDescent="0.2">
      <c r="A32" s="121">
        <v>5.2622184753417969</v>
      </c>
      <c r="B32" s="143">
        <v>0</v>
      </c>
      <c r="C32" s="143">
        <f t="shared" si="1"/>
        <v>1</v>
      </c>
      <c r="D32" s="16">
        <f t="shared" si="2"/>
        <v>0</v>
      </c>
      <c r="E32" s="3">
        <f>(2*Table!$AC$16*0.147)/A32</f>
        <v>17.417575057875254</v>
      </c>
      <c r="F32" s="3">
        <f t="shared" si="3"/>
        <v>34.835150115750508</v>
      </c>
      <c r="G32" s="121">
        <f>IF((('Raw Data'!C32)/('Raw Data'!C$136)*100)&lt;0,0,('Raw Data'!C32)/('Raw Data'!C$136)*100)</f>
        <v>0</v>
      </c>
      <c r="H32" s="121">
        <f t="shared" si="4"/>
        <v>0</v>
      </c>
      <c r="I32" s="118">
        <f t="shared" si="5"/>
        <v>3.8080964246537619E-2</v>
      </c>
      <c r="J32" s="3">
        <f>'Raw Data'!F32/I32</f>
        <v>0</v>
      </c>
      <c r="K32" s="27">
        <f t="shared" si="6"/>
        <v>1.0243401449108099E-2</v>
      </c>
      <c r="L32" s="121">
        <f>A32*Table!$AC$9/$AC$16</f>
        <v>1.1815651680338173</v>
      </c>
      <c r="M32" s="121">
        <f>A32*Table!$AD$9/$AC$16</f>
        <v>0.40510805761159446</v>
      </c>
      <c r="N32" s="121">
        <f>ABS(A32*Table!$AE$9/$AC$16)</f>
        <v>0.51163272587205744</v>
      </c>
      <c r="O32" s="121">
        <f>($L32*(Table!$AC$10/Table!$AC$9)/(Table!$AC$12-Table!$AC$14))</f>
        <v>2.534459819892358</v>
      </c>
      <c r="P32" s="121">
        <f>ROUND(($N32*(Table!$AE$10/Table!$AE$9)/(Table!$AC$12-Table!$AC$13)),2)</f>
        <v>4.2</v>
      </c>
      <c r="Q32" s="121">
        <f>'Raw Data'!C32</f>
        <v>0</v>
      </c>
      <c r="R32" s="121">
        <f>'Raw Data'!C32/'Raw Data'!I$30*100</f>
        <v>0</v>
      </c>
      <c r="S32" s="156">
        <f t="shared" si="7"/>
        <v>0</v>
      </c>
      <c r="T32" s="156">
        <f t="shared" si="8"/>
        <v>1</v>
      </c>
      <c r="U32" s="29">
        <f t="shared" si="9"/>
        <v>0</v>
      </c>
      <c r="V32" s="29">
        <f t="shared" si="10"/>
        <v>0</v>
      </c>
      <c r="W32" s="29">
        <f t="shared" si="11"/>
        <v>0</v>
      </c>
      <c r="X32" s="93">
        <f t="shared" si="12"/>
        <v>0</v>
      </c>
      <c r="AS32" s="19"/>
      <c r="AT32" s="19"/>
    </row>
    <row r="33" spans="1:46" ht="12.4" customHeight="1" x14ac:dyDescent="0.2">
      <c r="A33" s="121">
        <v>5.763972282409668</v>
      </c>
      <c r="B33" s="143">
        <v>0</v>
      </c>
      <c r="C33" s="143">
        <f t="shared" si="1"/>
        <v>1</v>
      </c>
      <c r="D33" s="16">
        <f t="shared" si="2"/>
        <v>0</v>
      </c>
      <c r="E33" s="3">
        <f>(2*Table!$AC$16*0.147)/A33</f>
        <v>15.9013750890014</v>
      </c>
      <c r="F33" s="3">
        <f t="shared" si="3"/>
        <v>31.8027501780028</v>
      </c>
      <c r="G33" s="121">
        <f>IF((('Raw Data'!C33)/('Raw Data'!C$136)*100)&lt;0,0,('Raw Data'!C33)/('Raw Data'!C$136)*100)</f>
        <v>0</v>
      </c>
      <c r="H33" s="121">
        <f t="shared" si="4"/>
        <v>0</v>
      </c>
      <c r="I33" s="118">
        <f t="shared" si="5"/>
        <v>3.9553008683655966E-2</v>
      </c>
      <c r="J33" s="3">
        <f>'Raw Data'!F33/I33</f>
        <v>0</v>
      </c>
      <c r="K33" s="27">
        <f t="shared" si="6"/>
        <v>1.1220112260051899E-2</v>
      </c>
      <c r="L33" s="121">
        <f>A33*Table!$AC$9/$AC$16</f>
        <v>1.2942276931908041</v>
      </c>
      <c r="M33" s="121">
        <f>A33*Table!$AD$9/$AC$16</f>
        <v>0.44373520909399</v>
      </c>
      <c r="N33" s="121">
        <f>ABS(A33*Table!$AE$9/$AC$16)</f>
        <v>0.5604170302922844</v>
      </c>
      <c r="O33" s="121">
        <f>($L33*(Table!$AC$10/Table!$AC$9)/(Table!$AC$12-Table!$AC$14))</f>
        <v>2.7761211780154533</v>
      </c>
      <c r="P33" s="121">
        <f>ROUND(($N33*(Table!$AE$10/Table!$AE$9)/(Table!$AC$12-Table!$AC$13)),2)</f>
        <v>4.5999999999999996</v>
      </c>
      <c r="Q33" s="121">
        <f>'Raw Data'!C33</f>
        <v>0</v>
      </c>
      <c r="R33" s="121">
        <f>'Raw Data'!C33/'Raw Data'!I$30*100</f>
        <v>0</v>
      </c>
      <c r="S33" s="156">
        <f t="shared" si="7"/>
        <v>0</v>
      </c>
      <c r="T33" s="156">
        <f t="shared" si="8"/>
        <v>1</v>
      </c>
      <c r="U33" s="29">
        <f t="shared" si="9"/>
        <v>0</v>
      </c>
      <c r="V33" s="29">
        <f t="shared" si="10"/>
        <v>0</v>
      </c>
      <c r="W33" s="29">
        <f t="shared" si="11"/>
        <v>0</v>
      </c>
      <c r="X33" s="93">
        <f t="shared" si="12"/>
        <v>0</v>
      </c>
      <c r="AS33" s="19"/>
      <c r="AT33" s="19"/>
    </row>
    <row r="34" spans="1:46" ht="12.4" customHeight="1" x14ac:dyDescent="0.2">
      <c r="A34" s="121">
        <v>6.3053379058837891</v>
      </c>
      <c r="B34" s="143">
        <v>0</v>
      </c>
      <c r="C34" s="143">
        <f t="shared" si="1"/>
        <v>1</v>
      </c>
      <c r="D34" s="16">
        <f t="shared" si="2"/>
        <v>0</v>
      </c>
      <c r="E34" s="3">
        <f>(2*Table!$AC$16*0.147)/A34</f>
        <v>14.536109980668321</v>
      </c>
      <c r="F34" s="3">
        <f t="shared" si="3"/>
        <v>29.072219961336643</v>
      </c>
      <c r="G34" s="121">
        <f>IF((('Raw Data'!C34)/('Raw Data'!C$136)*100)&lt;0,0,('Raw Data'!C34)/('Raw Data'!C$136)*100)</f>
        <v>0</v>
      </c>
      <c r="H34" s="121">
        <f t="shared" si="4"/>
        <v>0</v>
      </c>
      <c r="I34" s="118">
        <f t="shared" si="5"/>
        <v>3.8986481841941645E-2</v>
      </c>
      <c r="J34" s="3">
        <f>'Raw Data'!F34/I34</f>
        <v>0</v>
      </c>
      <c r="K34" s="27">
        <f t="shared" si="6"/>
        <v>1.2273931184138271E-2</v>
      </c>
      <c r="L34" s="121">
        <f>A34*Table!$AC$9/$AC$16</f>
        <v>1.4157845549716872</v>
      </c>
      <c r="M34" s="121">
        <f>A34*Table!$AD$9/$AC$16</f>
        <v>0.48541184741886417</v>
      </c>
      <c r="N34" s="121">
        <f>ABS(A34*Table!$AE$9/$AC$16)</f>
        <v>0.61305269544556362</v>
      </c>
      <c r="O34" s="121">
        <f>($L34*(Table!$AC$10/Table!$AC$9)/(Table!$AC$12-Table!$AC$14))</f>
        <v>3.0368609072751767</v>
      </c>
      <c r="P34" s="121">
        <f>ROUND(($N34*(Table!$AE$10/Table!$AE$9)/(Table!$AC$12-Table!$AC$13)),2)</f>
        <v>5.03</v>
      </c>
      <c r="Q34" s="121">
        <f>'Raw Data'!C34</f>
        <v>0</v>
      </c>
      <c r="R34" s="121">
        <f>'Raw Data'!C34/'Raw Data'!I$30*100</f>
        <v>0</v>
      </c>
      <c r="S34" s="156">
        <f t="shared" si="7"/>
        <v>0</v>
      </c>
      <c r="T34" s="156">
        <f t="shared" si="8"/>
        <v>1</v>
      </c>
      <c r="U34" s="29">
        <f t="shared" si="9"/>
        <v>0</v>
      </c>
      <c r="V34" s="29">
        <f t="shared" si="10"/>
        <v>0</v>
      </c>
      <c r="W34" s="29">
        <f t="shared" si="11"/>
        <v>0</v>
      </c>
      <c r="X34" s="93">
        <f t="shared" si="12"/>
        <v>0</v>
      </c>
      <c r="AS34" s="19"/>
      <c r="AT34" s="19"/>
    </row>
    <row r="35" spans="1:46" ht="12.4" customHeight="1" x14ac:dyDescent="0.2">
      <c r="A35" s="121">
        <v>6.8938956260681152</v>
      </c>
      <c r="B35" s="143">
        <v>0</v>
      </c>
      <c r="C35" s="143">
        <f t="shared" si="1"/>
        <v>1</v>
      </c>
      <c r="D35" s="16">
        <f t="shared" si="2"/>
        <v>0</v>
      </c>
      <c r="E35" s="3">
        <f>(2*Table!$AC$16*0.147)/A35</f>
        <v>13.29510776441483</v>
      </c>
      <c r="F35" s="3">
        <f t="shared" si="3"/>
        <v>26.59021552882966</v>
      </c>
      <c r="G35" s="121">
        <f>IF((('Raw Data'!C35)/('Raw Data'!C$136)*100)&lt;0,0,('Raw Data'!C35)/('Raw Data'!C$136)*100)</f>
        <v>0</v>
      </c>
      <c r="H35" s="121">
        <f t="shared" si="4"/>
        <v>0</v>
      </c>
      <c r="I35" s="118">
        <f t="shared" si="5"/>
        <v>3.8756338312417871E-2</v>
      </c>
      <c r="J35" s="3">
        <f>'Raw Data'!F35/I35</f>
        <v>0</v>
      </c>
      <c r="K35" s="27">
        <f t="shared" si="6"/>
        <v>1.3419613947419645E-2</v>
      </c>
      <c r="L35" s="121">
        <f>A35*Table!$AC$9/$AC$16</f>
        <v>1.5479378102585697</v>
      </c>
      <c r="M35" s="121">
        <f>A35*Table!$AD$9/$AC$16</f>
        <v>0.53072153494579533</v>
      </c>
      <c r="N35" s="121">
        <f>ABS(A35*Table!$AE$9/$AC$16)</f>
        <v>0.67027673358118878</v>
      </c>
      <c r="O35" s="121">
        <f>($L35*(Table!$AC$10/Table!$AC$9)/(Table!$AC$12-Table!$AC$14))</f>
        <v>3.320329923334556</v>
      </c>
      <c r="P35" s="121">
        <f>ROUND(($N35*(Table!$AE$10/Table!$AE$9)/(Table!$AC$12-Table!$AC$13)),2)</f>
        <v>5.5</v>
      </c>
      <c r="Q35" s="121">
        <f>'Raw Data'!C35</f>
        <v>0</v>
      </c>
      <c r="R35" s="121">
        <f>'Raw Data'!C35/'Raw Data'!I$30*100</f>
        <v>0</v>
      </c>
      <c r="S35" s="156">
        <f t="shared" si="7"/>
        <v>0</v>
      </c>
      <c r="T35" s="156">
        <f t="shared" si="8"/>
        <v>1</v>
      </c>
      <c r="U35" s="29">
        <f t="shared" si="9"/>
        <v>0</v>
      </c>
      <c r="V35" s="29">
        <f t="shared" si="10"/>
        <v>0</v>
      </c>
      <c r="W35" s="29">
        <f t="shared" si="11"/>
        <v>0</v>
      </c>
      <c r="X35" s="93">
        <f t="shared" si="12"/>
        <v>0</v>
      </c>
      <c r="AS35" s="19"/>
      <c r="AT35" s="19"/>
    </row>
    <row r="36" spans="1:46" ht="12.4" customHeight="1" x14ac:dyDescent="0.2">
      <c r="A36" s="121">
        <v>7.542360782623291</v>
      </c>
      <c r="B36" s="143">
        <v>0</v>
      </c>
      <c r="C36" s="143">
        <f t="shared" si="1"/>
        <v>1</v>
      </c>
      <c r="D36" s="16">
        <f t="shared" si="2"/>
        <v>0</v>
      </c>
      <c r="E36" s="3">
        <f>(2*Table!$AC$16*0.147)/A36</f>
        <v>12.152042033890256</v>
      </c>
      <c r="F36" s="3">
        <f t="shared" si="3"/>
        <v>24.304084067780511</v>
      </c>
      <c r="G36" s="121">
        <f>IF((('Raw Data'!C36)/('Raw Data'!C$136)*100)&lt;0,0,('Raw Data'!C36)/('Raw Data'!C$136)*100)</f>
        <v>0</v>
      </c>
      <c r="H36" s="121">
        <f t="shared" si="4"/>
        <v>0</v>
      </c>
      <c r="I36" s="118">
        <f t="shared" si="5"/>
        <v>3.9042598804676309E-2</v>
      </c>
      <c r="J36" s="3">
        <f>'Raw Data'!F36/I36</f>
        <v>0</v>
      </c>
      <c r="K36" s="27">
        <f t="shared" si="6"/>
        <v>1.4681912150255466E-2</v>
      </c>
      <c r="L36" s="121">
        <f>A36*Table!$AC$9/$AC$16</f>
        <v>1.6935425291161279</v>
      </c>
      <c r="M36" s="121">
        <f>A36*Table!$AD$9/$AC$16</f>
        <v>0.58064315283981527</v>
      </c>
      <c r="N36" s="121">
        <f>ABS(A36*Table!$AE$9/$AC$16)</f>
        <v>0.73332542630195707</v>
      </c>
      <c r="O36" s="121">
        <f>($L36*(Table!$AC$10/Table!$AC$9)/(Table!$AC$12-Table!$AC$14))</f>
        <v>3.6326523576064522</v>
      </c>
      <c r="P36" s="121">
        <f>ROUND(($N36*(Table!$AE$10/Table!$AE$9)/(Table!$AC$12-Table!$AC$13)),2)</f>
        <v>6.02</v>
      </c>
      <c r="Q36" s="121">
        <f>'Raw Data'!C36</f>
        <v>0</v>
      </c>
      <c r="R36" s="121">
        <f>'Raw Data'!C36/'Raw Data'!I$30*100</f>
        <v>0</v>
      </c>
      <c r="S36" s="156">
        <f t="shared" si="7"/>
        <v>0</v>
      </c>
      <c r="T36" s="156">
        <f t="shared" si="8"/>
        <v>1</v>
      </c>
      <c r="U36" s="29">
        <f t="shared" si="9"/>
        <v>0</v>
      </c>
      <c r="V36" s="29">
        <f t="shared" si="10"/>
        <v>0</v>
      </c>
      <c r="W36" s="29">
        <f t="shared" si="11"/>
        <v>0</v>
      </c>
      <c r="X36" s="93">
        <f t="shared" si="12"/>
        <v>0</v>
      </c>
      <c r="AS36" s="19"/>
      <c r="AT36" s="19"/>
    </row>
    <row r="37" spans="1:46" ht="12.4" customHeight="1" x14ac:dyDescent="0.2">
      <c r="A37" s="121">
        <v>8.2497549057006836</v>
      </c>
      <c r="B37" s="143">
        <v>0</v>
      </c>
      <c r="C37" s="143">
        <f t="shared" si="1"/>
        <v>1</v>
      </c>
      <c r="D37" s="16">
        <f t="shared" si="2"/>
        <v>0</v>
      </c>
      <c r="E37" s="3">
        <f>(2*Table!$AC$16*0.147)/A37</f>
        <v>11.11003736630634</v>
      </c>
      <c r="F37" s="3">
        <f t="shared" si="3"/>
        <v>22.22007473261268</v>
      </c>
      <c r="G37" s="121">
        <f>IF((('Raw Data'!C37)/('Raw Data'!C$136)*100)&lt;0,0,('Raw Data'!C37)/('Raw Data'!C$136)*100)</f>
        <v>0</v>
      </c>
      <c r="H37" s="121">
        <f t="shared" si="4"/>
        <v>0</v>
      </c>
      <c r="I37" s="118">
        <f t="shared" si="5"/>
        <v>3.8933743478377414E-2</v>
      </c>
      <c r="J37" s="3">
        <f>'Raw Data'!F37/I37</f>
        <v>0</v>
      </c>
      <c r="K37" s="27">
        <f t="shared" si="6"/>
        <v>1.6058921109380987E-2</v>
      </c>
      <c r="L37" s="121">
        <f>A37*Table!$AC$9/$AC$16</f>
        <v>1.8523790084103071</v>
      </c>
      <c r="M37" s="121">
        <f>A37*Table!$AD$9/$AC$16</f>
        <v>0.63510137431210534</v>
      </c>
      <c r="N37" s="121">
        <f>ABS(A37*Table!$AE$9/$AC$16)</f>
        <v>0.80210363936017715</v>
      </c>
      <c r="O37" s="121">
        <f>($L37*(Table!$AC$10/Table!$AC$9)/(Table!$AC$12-Table!$AC$14))</f>
        <v>3.9733569463970557</v>
      </c>
      <c r="P37" s="121">
        <f>ROUND(($N37*(Table!$AE$10/Table!$AE$9)/(Table!$AC$12-Table!$AC$13)),2)</f>
        <v>6.59</v>
      </c>
      <c r="Q37" s="121">
        <f>'Raw Data'!C37</f>
        <v>0</v>
      </c>
      <c r="R37" s="121">
        <f>'Raw Data'!C37/'Raw Data'!I$30*100</f>
        <v>0</v>
      </c>
      <c r="S37" s="156">
        <f t="shared" si="7"/>
        <v>0</v>
      </c>
      <c r="T37" s="156">
        <f t="shared" si="8"/>
        <v>1</v>
      </c>
      <c r="U37" s="29">
        <f t="shared" si="9"/>
        <v>0</v>
      </c>
      <c r="V37" s="29">
        <f t="shared" si="10"/>
        <v>0</v>
      </c>
      <c r="W37" s="29">
        <f t="shared" si="11"/>
        <v>0</v>
      </c>
      <c r="X37" s="93">
        <f t="shared" si="12"/>
        <v>0</v>
      </c>
      <c r="AS37" s="19"/>
      <c r="AT37" s="19"/>
    </row>
    <row r="38" spans="1:46" ht="12.4" customHeight="1" x14ac:dyDescent="0.2">
      <c r="A38" s="121">
        <v>9.0262670516967773</v>
      </c>
      <c r="B38" s="143">
        <v>0</v>
      </c>
      <c r="C38" s="143">
        <f t="shared" si="1"/>
        <v>1</v>
      </c>
      <c r="D38" s="16">
        <f t="shared" si="2"/>
        <v>0</v>
      </c>
      <c r="E38" s="3">
        <f>(2*Table!$AC$16*0.147)/A38</f>
        <v>10.154262525168045</v>
      </c>
      <c r="F38" s="3">
        <f t="shared" si="3"/>
        <v>20.30852505033609</v>
      </c>
      <c r="G38" s="121">
        <f>IF((('Raw Data'!C38)/('Raw Data'!C$136)*100)&lt;0,0,('Raw Data'!C38)/('Raw Data'!C$136)*100)</f>
        <v>0</v>
      </c>
      <c r="H38" s="121">
        <f t="shared" si="4"/>
        <v>0</v>
      </c>
      <c r="I38" s="118">
        <f t="shared" si="5"/>
        <v>3.9067132273563621E-2</v>
      </c>
      <c r="J38" s="3">
        <f>'Raw Data'!F38/I38</f>
        <v>0</v>
      </c>
      <c r="K38" s="27">
        <f t="shared" si="6"/>
        <v>1.7570474778013073E-2</v>
      </c>
      <c r="L38" s="121">
        <f>A38*Table!$AC$9/$AC$16</f>
        <v>2.0267350729795535</v>
      </c>
      <c r="M38" s="121">
        <f>A38*Table!$AD$9/$AC$16</f>
        <v>0.69488059645013256</v>
      </c>
      <c r="N38" s="121">
        <f>ABS(A38*Table!$AE$9/$AC$16)</f>
        <v>0.87760202997060066</v>
      </c>
      <c r="O38" s="121">
        <f>($L38*(Table!$AC$10/Table!$AC$9)/(Table!$AC$12-Table!$AC$14))</f>
        <v>4.3473510788922214</v>
      </c>
      <c r="P38" s="121">
        <f>ROUND(($N38*(Table!$AE$10/Table!$AE$9)/(Table!$AC$12-Table!$AC$13)),2)</f>
        <v>7.21</v>
      </c>
      <c r="Q38" s="121">
        <f>'Raw Data'!C38</f>
        <v>0</v>
      </c>
      <c r="R38" s="121">
        <f>'Raw Data'!C38/'Raw Data'!I$30*100</f>
        <v>0</v>
      </c>
      <c r="S38" s="156">
        <f t="shared" si="7"/>
        <v>0</v>
      </c>
      <c r="T38" s="156">
        <f t="shared" si="8"/>
        <v>1</v>
      </c>
      <c r="U38" s="29">
        <f t="shared" si="9"/>
        <v>0</v>
      </c>
      <c r="V38" s="29">
        <f t="shared" si="10"/>
        <v>0</v>
      </c>
      <c r="W38" s="29">
        <f t="shared" si="11"/>
        <v>0</v>
      </c>
      <c r="X38" s="93">
        <f t="shared" si="12"/>
        <v>0</v>
      </c>
      <c r="AS38" s="19"/>
      <c r="AT38" s="19"/>
    </row>
    <row r="39" spans="1:46" ht="12.4" customHeight="1" x14ac:dyDescent="0.2">
      <c r="A39" s="121">
        <v>9.8776836395263672</v>
      </c>
      <c r="B39" s="143">
        <v>0</v>
      </c>
      <c r="C39" s="143">
        <f t="shared" si="1"/>
        <v>1</v>
      </c>
      <c r="D39" s="16">
        <f t="shared" si="2"/>
        <v>0</v>
      </c>
      <c r="E39" s="3">
        <f>(2*Table!$AC$16*0.147)/A39</f>
        <v>9.2790059501843363</v>
      </c>
      <c r="F39" s="3">
        <f t="shared" si="3"/>
        <v>18.558011900368673</v>
      </c>
      <c r="G39" s="121">
        <f>IF((('Raw Data'!C39)/('Raw Data'!C$136)*100)&lt;0,0,('Raw Data'!C39)/('Raw Data'!C$136)*100)</f>
        <v>0</v>
      </c>
      <c r="H39" s="121">
        <f t="shared" si="4"/>
        <v>0</v>
      </c>
      <c r="I39" s="118">
        <f t="shared" si="5"/>
        <v>3.91469341138867E-2</v>
      </c>
      <c r="J39" s="3">
        <f>'Raw Data'!F39/I39</f>
        <v>0</v>
      </c>
      <c r="K39" s="27">
        <f t="shared" si="6"/>
        <v>1.9227836962885454E-2</v>
      </c>
      <c r="L39" s="121">
        <f>A39*Table!$AC$9/$AC$16</f>
        <v>2.2179099906268687</v>
      </c>
      <c r="M39" s="121">
        <f>A39*Table!$AD$9/$AC$16</f>
        <v>0.76042628250064059</v>
      </c>
      <c r="N39" s="121">
        <f>ABS(A39*Table!$AE$9/$AC$16)</f>
        <v>0.96038319759508717</v>
      </c>
      <c r="O39" s="121">
        <f>($L39*(Table!$AC$10/Table!$AC$9)/(Table!$AC$12-Table!$AC$14))</f>
        <v>4.7574216873163211</v>
      </c>
      <c r="P39" s="121">
        <f>ROUND(($N39*(Table!$AE$10/Table!$AE$9)/(Table!$AC$12-Table!$AC$13)),2)</f>
        <v>7.88</v>
      </c>
      <c r="Q39" s="121">
        <f>'Raw Data'!C39</f>
        <v>0</v>
      </c>
      <c r="R39" s="121">
        <f>'Raw Data'!C39/'Raw Data'!I$30*100</f>
        <v>0</v>
      </c>
      <c r="S39" s="156">
        <f t="shared" si="7"/>
        <v>0</v>
      </c>
      <c r="T39" s="156">
        <f t="shared" si="8"/>
        <v>1</v>
      </c>
      <c r="U39" s="29">
        <f t="shared" si="9"/>
        <v>0</v>
      </c>
      <c r="V39" s="29">
        <f t="shared" si="10"/>
        <v>0</v>
      </c>
      <c r="W39" s="29">
        <f t="shared" si="11"/>
        <v>0</v>
      </c>
      <c r="X39" s="93">
        <f t="shared" si="12"/>
        <v>0</v>
      </c>
      <c r="AS39" s="19"/>
      <c r="AT39" s="19"/>
    </row>
    <row r="40" spans="1:46" ht="12.4" customHeight="1" x14ac:dyDescent="0.2">
      <c r="A40" s="121">
        <v>10.782322883605957</v>
      </c>
      <c r="B40" s="143">
        <v>0</v>
      </c>
      <c r="C40" s="143">
        <f t="shared" si="1"/>
        <v>1</v>
      </c>
      <c r="D40" s="16">
        <f t="shared" si="2"/>
        <v>0</v>
      </c>
      <c r="E40" s="3">
        <f>(2*Table!$AC$16*0.147)/A40</f>
        <v>8.5004953250436532</v>
      </c>
      <c r="F40" s="3">
        <f t="shared" si="3"/>
        <v>17.000990650087306</v>
      </c>
      <c r="G40" s="121">
        <f>IF((('Raw Data'!C40)/('Raw Data'!C$136)*100)&lt;0,0,('Raw Data'!C40)/('Raw Data'!C$136)*100)</f>
        <v>0</v>
      </c>
      <c r="H40" s="121">
        <f t="shared" si="4"/>
        <v>0</v>
      </c>
      <c r="I40" s="118">
        <f t="shared" si="5"/>
        <v>3.8057220363859612E-2</v>
      </c>
      <c r="J40" s="3">
        <f>'Raw Data'!F40/I40</f>
        <v>0</v>
      </c>
      <c r="K40" s="27">
        <f t="shared" si="6"/>
        <v>2.0988802036294541E-2</v>
      </c>
      <c r="L40" s="121">
        <f>A40*Table!$AC$9/$AC$16</f>
        <v>2.4210353882988946</v>
      </c>
      <c r="M40" s="121">
        <f>A40*Table!$AD$9/$AC$16</f>
        <v>0.83006927598819247</v>
      </c>
      <c r="N40" s="121">
        <f>ABS(A40*Table!$AE$9/$AC$16)</f>
        <v>1.0483390748639827</v>
      </c>
      <c r="O40" s="121">
        <f>($L40*(Table!$AC$10/Table!$AC$9)/(Table!$AC$12-Table!$AC$14))</f>
        <v>5.1931261010272305</v>
      </c>
      <c r="P40" s="121">
        <f>ROUND(($N40*(Table!$AE$10/Table!$AE$9)/(Table!$AC$12-Table!$AC$13)),2)</f>
        <v>8.61</v>
      </c>
      <c r="Q40" s="121">
        <f>'Raw Data'!C40</f>
        <v>0</v>
      </c>
      <c r="R40" s="121">
        <f>'Raw Data'!C40/'Raw Data'!I$30*100</f>
        <v>0</v>
      </c>
      <c r="S40" s="156">
        <f t="shared" si="7"/>
        <v>0</v>
      </c>
      <c r="T40" s="156">
        <f t="shared" si="8"/>
        <v>1</v>
      </c>
      <c r="U40" s="29">
        <f t="shared" si="9"/>
        <v>0</v>
      </c>
      <c r="V40" s="29">
        <f t="shared" si="10"/>
        <v>0</v>
      </c>
      <c r="W40" s="29">
        <f t="shared" si="11"/>
        <v>0</v>
      </c>
      <c r="X40" s="93">
        <f t="shared" si="12"/>
        <v>0</v>
      </c>
      <c r="AS40" s="19"/>
      <c r="AT40" s="19"/>
    </row>
    <row r="41" spans="1:46" ht="12.4" customHeight="1" x14ac:dyDescent="0.2">
      <c r="A41" s="121">
        <v>11.883312225341797</v>
      </c>
      <c r="B41" s="143">
        <v>0</v>
      </c>
      <c r="C41" s="143">
        <f t="shared" si="1"/>
        <v>1</v>
      </c>
      <c r="D41" s="16">
        <f t="shared" si="2"/>
        <v>0</v>
      </c>
      <c r="E41" s="3">
        <f>(2*Table!$AC$16*0.147)/A41</f>
        <v>7.712924101223587</v>
      </c>
      <c r="F41" s="3">
        <f t="shared" si="3"/>
        <v>15.425848202447174</v>
      </c>
      <c r="G41" s="121">
        <f>IF((('Raw Data'!C41)/('Raw Data'!C$136)*100)&lt;0,0,('Raw Data'!C41)/('Raw Data'!C$136)*100)</f>
        <v>0</v>
      </c>
      <c r="H41" s="121">
        <f t="shared" si="4"/>
        <v>0</v>
      </c>
      <c r="I41" s="118">
        <f t="shared" si="5"/>
        <v>4.2225175128468129E-2</v>
      </c>
      <c r="J41" s="3">
        <f>'Raw Data'!F41/I41</f>
        <v>0</v>
      </c>
      <c r="K41" s="27">
        <f t="shared" si="6"/>
        <v>2.3131980977160724E-2</v>
      </c>
      <c r="L41" s="121">
        <f>A41*Table!$AC$9/$AC$16</f>
        <v>2.6682487380804338</v>
      </c>
      <c r="M41" s="121">
        <f>A41*Table!$AD$9/$AC$16</f>
        <v>0.91482813877043445</v>
      </c>
      <c r="N41" s="121">
        <f>ABS(A41*Table!$AE$9/$AC$16)</f>
        <v>1.1553855953967134</v>
      </c>
      <c r="O41" s="121">
        <f>($L41*(Table!$AC$10/Table!$AC$9)/(Table!$AC$12-Table!$AC$14))</f>
        <v>5.7233992665817981</v>
      </c>
      <c r="P41" s="121">
        <f>ROUND(($N41*(Table!$AE$10/Table!$AE$9)/(Table!$AC$12-Table!$AC$13)),2)</f>
        <v>9.49</v>
      </c>
      <c r="Q41" s="121">
        <f>'Raw Data'!C41</f>
        <v>0</v>
      </c>
      <c r="R41" s="121">
        <f>'Raw Data'!C41/'Raw Data'!I$30*100</f>
        <v>0</v>
      </c>
      <c r="S41" s="156">
        <f t="shared" si="7"/>
        <v>0</v>
      </c>
      <c r="T41" s="156">
        <f t="shared" si="8"/>
        <v>1</v>
      </c>
      <c r="U41" s="29">
        <f t="shared" si="9"/>
        <v>0</v>
      </c>
      <c r="V41" s="29">
        <f t="shared" si="10"/>
        <v>0</v>
      </c>
      <c r="W41" s="29">
        <f t="shared" si="11"/>
        <v>0</v>
      </c>
      <c r="X41" s="93">
        <f t="shared" si="12"/>
        <v>0</v>
      </c>
      <c r="AS41" s="19"/>
      <c r="AT41" s="19"/>
    </row>
    <row r="42" spans="1:46" ht="12.4" customHeight="1" x14ac:dyDescent="0.2">
      <c r="A42" s="121">
        <v>12.884048461914062</v>
      </c>
      <c r="B42" s="143">
        <v>0</v>
      </c>
      <c r="C42" s="143">
        <f t="shared" si="1"/>
        <v>1</v>
      </c>
      <c r="D42" s="16">
        <f t="shared" si="2"/>
        <v>0</v>
      </c>
      <c r="E42" s="3">
        <f>(2*Table!$AC$16*0.147)/A42</f>
        <v>7.1138420144988572</v>
      </c>
      <c r="F42" s="3">
        <f t="shared" si="3"/>
        <v>14.227684028997714</v>
      </c>
      <c r="G42" s="121">
        <f>IF((('Raw Data'!C42)/('Raw Data'!C$136)*100)&lt;0,0,('Raw Data'!C42)/('Raw Data'!C$136)*100)</f>
        <v>0</v>
      </c>
      <c r="H42" s="121">
        <f t="shared" si="4"/>
        <v>0</v>
      </c>
      <c r="I42" s="118">
        <f t="shared" si="5"/>
        <v>3.5114841657177598E-2</v>
      </c>
      <c r="J42" s="3">
        <f>'Raw Data'!F42/I42</f>
        <v>0</v>
      </c>
      <c r="K42" s="27">
        <f t="shared" si="6"/>
        <v>2.5080007852881329E-2</v>
      </c>
      <c r="L42" s="121">
        <f>A42*Table!$AC$9/$AC$16</f>
        <v>2.8929515103168595</v>
      </c>
      <c r="M42" s="121">
        <f>A42*Table!$AD$9/$AC$16</f>
        <v>0.99186908925149464</v>
      </c>
      <c r="N42" s="121">
        <f>ABS(A42*Table!$AE$9/$AC$16)</f>
        <v>1.2526847499254801</v>
      </c>
      <c r="O42" s="121">
        <f>($L42*(Table!$AC$10/Table!$AC$9)/(Table!$AC$12-Table!$AC$14))</f>
        <v>6.2053871950168595</v>
      </c>
      <c r="P42" s="121">
        <f>ROUND(($N42*(Table!$AE$10/Table!$AE$9)/(Table!$AC$12-Table!$AC$13)),2)</f>
        <v>10.28</v>
      </c>
      <c r="Q42" s="121">
        <f>'Raw Data'!C42</f>
        <v>0</v>
      </c>
      <c r="R42" s="121">
        <f>'Raw Data'!C42/'Raw Data'!I$30*100</f>
        <v>0</v>
      </c>
      <c r="S42" s="156">
        <f t="shared" si="7"/>
        <v>0</v>
      </c>
      <c r="T42" s="156">
        <f t="shared" si="8"/>
        <v>1</v>
      </c>
      <c r="U42" s="29">
        <f t="shared" si="9"/>
        <v>0</v>
      </c>
      <c r="V42" s="29">
        <f t="shared" si="10"/>
        <v>0</v>
      </c>
      <c r="W42" s="29">
        <f t="shared" si="11"/>
        <v>0</v>
      </c>
      <c r="X42" s="93">
        <f t="shared" si="12"/>
        <v>0</v>
      </c>
      <c r="AS42" s="19"/>
      <c r="AT42" s="19"/>
    </row>
    <row r="43" spans="1:46" ht="12.4" customHeight="1" x14ac:dyDescent="0.2">
      <c r="A43" s="121">
        <v>14.184564590454102</v>
      </c>
      <c r="B43" s="143">
        <v>0</v>
      </c>
      <c r="C43" s="143">
        <f t="shared" si="1"/>
        <v>1</v>
      </c>
      <c r="D43" s="16">
        <f t="shared" si="2"/>
        <v>0</v>
      </c>
      <c r="E43" s="3">
        <f>(2*Table!$AC$16*0.147)/A43</f>
        <v>6.4616072407950744</v>
      </c>
      <c r="F43" s="3">
        <f t="shared" si="3"/>
        <v>12.923214481590149</v>
      </c>
      <c r="G43" s="121">
        <f>IF((('Raw Data'!C43)/('Raw Data'!C$136)*100)&lt;0,0,('Raw Data'!C43)/('Raw Data'!C$136)*100)</f>
        <v>0</v>
      </c>
      <c r="H43" s="121">
        <f t="shared" si="4"/>
        <v>0</v>
      </c>
      <c r="I43" s="118">
        <f t="shared" si="5"/>
        <v>4.1763659527351171E-2</v>
      </c>
      <c r="J43" s="3">
        <f>'Raw Data'!F43/I43</f>
        <v>0</v>
      </c>
      <c r="K43" s="27">
        <f t="shared" si="6"/>
        <v>2.7611584384357474E-2</v>
      </c>
      <c r="L43" s="121">
        <f>A43*Table!$AC$9/$AC$16</f>
        <v>3.1849660979189625</v>
      </c>
      <c r="M43" s="121">
        <f>A43*Table!$AD$9/$AC$16</f>
        <v>1.0919883764293585</v>
      </c>
      <c r="N43" s="121">
        <f>ABS(A43*Table!$AE$9/$AC$16)</f>
        <v>1.3791307754950086</v>
      </c>
      <c r="O43" s="121">
        <f>($L43*(Table!$AC$10/Table!$AC$9)/(Table!$AC$12-Table!$AC$14))</f>
        <v>6.8317591117952867</v>
      </c>
      <c r="P43" s="121">
        <f>ROUND(($N43*(Table!$AE$10/Table!$AE$9)/(Table!$AC$12-Table!$AC$13)),2)</f>
        <v>11.32</v>
      </c>
      <c r="Q43" s="121">
        <f>'Raw Data'!C43</f>
        <v>0</v>
      </c>
      <c r="R43" s="121">
        <f>'Raw Data'!C43/'Raw Data'!I$30*100</f>
        <v>0</v>
      </c>
      <c r="S43" s="156">
        <f t="shared" si="7"/>
        <v>0</v>
      </c>
      <c r="T43" s="156">
        <f t="shared" si="8"/>
        <v>1</v>
      </c>
      <c r="U43" s="29">
        <f t="shared" si="9"/>
        <v>0</v>
      </c>
      <c r="V43" s="29">
        <f t="shared" si="10"/>
        <v>0</v>
      </c>
      <c r="W43" s="29">
        <f t="shared" si="11"/>
        <v>0</v>
      </c>
      <c r="X43" s="93">
        <f t="shared" si="12"/>
        <v>0</v>
      </c>
      <c r="AS43" s="19"/>
      <c r="AT43" s="19"/>
    </row>
    <row r="44" spans="1:46" ht="12.4" customHeight="1" x14ac:dyDescent="0.2">
      <c r="A44" s="121">
        <v>15.478479385375977</v>
      </c>
      <c r="B44" s="143">
        <v>0</v>
      </c>
      <c r="C44" s="143">
        <f t="shared" si="1"/>
        <v>1</v>
      </c>
      <c r="D44" s="16">
        <f t="shared" si="2"/>
        <v>0</v>
      </c>
      <c r="E44" s="3">
        <f>(2*Table!$AC$16*0.147)/A44</f>
        <v>5.9214528109136548</v>
      </c>
      <c r="F44" s="3">
        <f t="shared" si="3"/>
        <v>11.84290562182731</v>
      </c>
      <c r="G44" s="121">
        <f>IF((('Raw Data'!C44)/('Raw Data'!C$136)*100)&lt;0,0,('Raw Data'!C44)/('Raw Data'!C$136)*100)</f>
        <v>0</v>
      </c>
      <c r="H44" s="121">
        <f t="shared" si="4"/>
        <v>0</v>
      </c>
      <c r="I44" s="118">
        <f t="shared" si="5"/>
        <v>3.791228387697354E-2</v>
      </c>
      <c r="J44" s="3">
        <f>'Raw Data'!F44/I44</f>
        <v>0</v>
      </c>
      <c r="K44" s="27">
        <f t="shared" si="6"/>
        <v>3.0130310801254154E-2</v>
      </c>
      <c r="L44" s="121">
        <f>A44*Table!$AC$9/$AC$16</f>
        <v>3.475498438840821</v>
      </c>
      <c r="M44" s="121">
        <f>A44*Table!$AD$9/$AC$16</f>
        <v>1.1915994647454244</v>
      </c>
      <c r="N44" s="121">
        <f>ABS(A44*Table!$AE$9/$AC$16)</f>
        <v>1.5049349694246541</v>
      </c>
      <c r="O44" s="121">
        <f>($L44*(Table!$AC$10/Table!$AC$9)/(Table!$AC$12-Table!$AC$14))</f>
        <v>7.4549516062651682</v>
      </c>
      <c r="P44" s="121">
        <f>ROUND(($N44*(Table!$AE$10/Table!$AE$9)/(Table!$AC$12-Table!$AC$13)),2)</f>
        <v>12.36</v>
      </c>
      <c r="Q44" s="121">
        <f>'Raw Data'!C44</f>
        <v>0</v>
      </c>
      <c r="R44" s="121">
        <f>'Raw Data'!C44/'Raw Data'!I$30*100</f>
        <v>0</v>
      </c>
      <c r="S44" s="156">
        <f t="shared" si="7"/>
        <v>0</v>
      </c>
      <c r="T44" s="156">
        <f t="shared" si="8"/>
        <v>1</v>
      </c>
      <c r="U44" s="29">
        <f t="shared" si="9"/>
        <v>0</v>
      </c>
      <c r="V44" s="29">
        <f t="shared" si="10"/>
        <v>0</v>
      </c>
      <c r="W44" s="29">
        <f t="shared" si="11"/>
        <v>0</v>
      </c>
      <c r="X44" s="93">
        <f t="shared" si="12"/>
        <v>0</v>
      </c>
      <c r="AS44" s="19"/>
      <c r="AT44" s="19"/>
    </row>
    <row r="45" spans="1:46" ht="12.4" customHeight="1" x14ac:dyDescent="0.2">
      <c r="A45" s="121">
        <v>16.87272834777832</v>
      </c>
      <c r="B45" s="143">
        <v>0</v>
      </c>
      <c r="C45" s="143">
        <f t="shared" si="1"/>
        <v>1</v>
      </c>
      <c r="D45" s="16">
        <f t="shared" si="2"/>
        <v>0</v>
      </c>
      <c r="E45" s="3">
        <f>(2*Table!$AC$16*0.147)/A45</f>
        <v>5.4321437159433748</v>
      </c>
      <c r="F45" s="3">
        <f t="shared" si="3"/>
        <v>10.86428743188675</v>
      </c>
      <c r="G45" s="121">
        <f>IF((('Raw Data'!C45)/('Raw Data'!C$136)*100)&lt;0,0,('Raw Data'!C45)/('Raw Data'!C$136)*100)</f>
        <v>0</v>
      </c>
      <c r="H45" s="121">
        <f t="shared" si="4"/>
        <v>0</v>
      </c>
      <c r="I45" s="118">
        <f t="shared" si="5"/>
        <v>3.7457021290425163E-2</v>
      </c>
      <c r="J45" s="3">
        <f>'Raw Data'!F45/I45</f>
        <v>0</v>
      </c>
      <c r="K45" s="27">
        <f t="shared" si="6"/>
        <v>3.2844347078693582E-2</v>
      </c>
      <c r="L45" s="121">
        <f>A45*Table!$AC$9/$AC$16</f>
        <v>3.788559558834494</v>
      </c>
      <c r="M45" s="121">
        <f>A45*Table!$AD$9/$AC$16</f>
        <v>1.2989347058861123</v>
      </c>
      <c r="N45" s="121">
        <f>ABS(A45*Table!$AE$9/$AC$16)</f>
        <v>1.6404944108505188</v>
      </c>
      <c r="O45" s="121">
        <f>($L45*(Table!$AC$10/Table!$AC$9)/(Table!$AC$12-Table!$AC$14))</f>
        <v>8.1264683801683706</v>
      </c>
      <c r="P45" s="121">
        <f>ROUND(($N45*(Table!$AE$10/Table!$AE$9)/(Table!$AC$12-Table!$AC$13)),2)</f>
        <v>13.47</v>
      </c>
      <c r="Q45" s="121">
        <f>'Raw Data'!C45</f>
        <v>0</v>
      </c>
      <c r="R45" s="121">
        <f>'Raw Data'!C45/'Raw Data'!I$30*100</f>
        <v>0</v>
      </c>
      <c r="S45" s="156">
        <f t="shared" si="7"/>
        <v>0</v>
      </c>
      <c r="T45" s="156">
        <f t="shared" si="8"/>
        <v>1</v>
      </c>
      <c r="U45" s="29">
        <f t="shared" si="9"/>
        <v>0</v>
      </c>
      <c r="V45" s="29">
        <f t="shared" si="10"/>
        <v>0</v>
      </c>
      <c r="W45" s="29">
        <f t="shared" si="11"/>
        <v>0</v>
      </c>
      <c r="X45" s="93">
        <f t="shared" si="12"/>
        <v>0</v>
      </c>
      <c r="AS45" s="19"/>
      <c r="AT45" s="19"/>
    </row>
    <row r="46" spans="1:46" ht="12.4" customHeight="1" x14ac:dyDescent="0.2">
      <c r="A46" s="121">
        <v>18.472209930419922</v>
      </c>
      <c r="B46" s="143">
        <v>0</v>
      </c>
      <c r="C46" s="143">
        <f t="shared" si="1"/>
        <v>1</v>
      </c>
      <c r="D46" s="16">
        <f t="shared" si="2"/>
        <v>0</v>
      </c>
      <c r="E46" s="3">
        <f>(2*Table!$AC$16*0.147)/A46</f>
        <v>4.9617823536244359</v>
      </c>
      <c r="F46" s="3">
        <f t="shared" si="3"/>
        <v>9.9235647072488717</v>
      </c>
      <c r="G46" s="121">
        <f>IF((('Raw Data'!C46)/('Raw Data'!C$136)*100)&lt;0,0,('Raw Data'!C46)/('Raw Data'!C$136)*100)</f>
        <v>0</v>
      </c>
      <c r="H46" s="121">
        <f t="shared" si="4"/>
        <v>0</v>
      </c>
      <c r="I46" s="118">
        <f t="shared" si="5"/>
        <v>3.9333541151281626E-2</v>
      </c>
      <c r="J46" s="3">
        <f>'Raw Data'!F46/I46</f>
        <v>0</v>
      </c>
      <c r="K46" s="27">
        <f t="shared" si="6"/>
        <v>3.5957887886287759E-2</v>
      </c>
      <c r="L46" s="121">
        <f>A46*Table!$AC$9/$AC$16</f>
        <v>4.1477030899928362</v>
      </c>
      <c r="M46" s="121">
        <f>A46*Table!$AD$9/$AC$16</f>
        <v>1.4220696308546867</v>
      </c>
      <c r="N46" s="121">
        <f>ABS(A46*Table!$AE$9/$AC$16)</f>
        <v>1.7960081216445047</v>
      </c>
      <c r="O46" s="121">
        <f>($L46*(Table!$AC$10/Table!$AC$9)/(Table!$AC$12-Table!$AC$14))</f>
        <v>8.8968320248666597</v>
      </c>
      <c r="P46" s="121">
        <f>ROUND(($N46*(Table!$AE$10/Table!$AE$9)/(Table!$AC$12-Table!$AC$13)),2)</f>
        <v>14.75</v>
      </c>
      <c r="Q46" s="121">
        <f>'Raw Data'!C46</f>
        <v>0</v>
      </c>
      <c r="R46" s="121">
        <f>'Raw Data'!C46/'Raw Data'!I$30*100</f>
        <v>0</v>
      </c>
      <c r="S46" s="156">
        <f t="shared" si="7"/>
        <v>0</v>
      </c>
      <c r="T46" s="156">
        <f t="shared" si="8"/>
        <v>1</v>
      </c>
      <c r="U46" s="29">
        <f t="shared" si="9"/>
        <v>0</v>
      </c>
      <c r="V46" s="29">
        <f t="shared" si="10"/>
        <v>0</v>
      </c>
      <c r="W46" s="29">
        <f t="shared" si="11"/>
        <v>0</v>
      </c>
      <c r="X46" s="93">
        <f t="shared" si="12"/>
        <v>0</v>
      </c>
      <c r="AS46" s="19"/>
      <c r="AT46" s="19"/>
    </row>
    <row r="47" spans="1:46" ht="12.4" customHeight="1" x14ac:dyDescent="0.2">
      <c r="A47" s="121">
        <v>20.266654968261719</v>
      </c>
      <c r="B47" s="143">
        <v>0</v>
      </c>
      <c r="C47" s="143">
        <f t="shared" si="1"/>
        <v>1</v>
      </c>
      <c r="D47" s="16">
        <f t="shared" si="2"/>
        <v>0</v>
      </c>
      <c r="E47" s="3">
        <f>(2*Table!$AC$16*0.147)/A47</f>
        <v>4.5224574755300599</v>
      </c>
      <c r="F47" s="3">
        <f t="shared" si="3"/>
        <v>9.0449149510601199</v>
      </c>
      <c r="G47" s="121">
        <f>IF((('Raw Data'!C47)/('Raw Data'!C$136)*100)&lt;0,0,('Raw Data'!C47)/('Raw Data'!C$136)*100)</f>
        <v>0</v>
      </c>
      <c r="H47" s="121">
        <f t="shared" si="4"/>
        <v>0</v>
      </c>
      <c r="I47" s="118">
        <f t="shared" si="5"/>
        <v>4.0263218320726768E-2</v>
      </c>
      <c r="J47" s="3">
        <f>'Raw Data'!F47/I47</f>
        <v>0</v>
      </c>
      <c r="K47" s="27">
        <f t="shared" si="6"/>
        <v>3.9450943331839086E-2</v>
      </c>
      <c r="L47" s="121">
        <f>A47*Table!$AC$9/$AC$16</f>
        <v>4.550623220086309</v>
      </c>
      <c r="M47" s="121">
        <f>A47*Table!$AD$9/$AC$16</f>
        <v>1.560213675458163</v>
      </c>
      <c r="N47" s="121">
        <f>ABS(A47*Table!$AE$9/$AC$16)</f>
        <v>1.9704776558230441</v>
      </c>
      <c r="O47" s="121">
        <f>($L47*(Table!$AC$10/Table!$AC$9)/(Table!$AC$12-Table!$AC$14))</f>
        <v>9.761096568181701</v>
      </c>
      <c r="P47" s="121">
        <f>ROUND(($N47*(Table!$AE$10/Table!$AE$9)/(Table!$AC$12-Table!$AC$13)),2)</f>
        <v>16.18</v>
      </c>
      <c r="Q47" s="121">
        <f>'Raw Data'!C47</f>
        <v>0</v>
      </c>
      <c r="R47" s="121">
        <f>'Raw Data'!C47/'Raw Data'!I$30*100</f>
        <v>0</v>
      </c>
      <c r="S47" s="156">
        <f t="shared" si="7"/>
        <v>0</v>
      </c>
      <c r="T47" s="156">
        <f t="shared" si="8"/>
        <v>1</v>
      </c>
      <c r="U47" s="29">
        <f t="shared" si="9"/>
        <v>0</v>
      </c>
      <c r="V47" s="29">
        <f t="shared" si="10"/>
        <v>0</v>
      </c>
      <c r="W47" s="29">
        <f t="shared" si="11"/>
        <v>0</v>
      </c>
      <c r="X47" s="93">
        <f t="shared" si="12"/>
        <v>0</v>
      </c>
      <c r="AS47" s="19"/>
      <c r="AT47" s="19"/>
    </row>
    <row r="48" spans="1:46" ht="12.4" customHeight="1" x14ac:dyDescent="0.2">
      <c r="A48" s="121">
        <v>22.155405044555664</v>
      </c>
      <c r="B48" s="143">
        <v>0</v>
      </c>
      <c r="C48" s="143">
        <f t="shared" si="1"/>
        <v>1</v>
      </c>
      <c r="D48" s="16">
        <f t="shared" si="2"/>
        <v>0</v>
      </c>
      <c r="E48" s="3">
        <f>(2*Table!$AC$16*0.147)/A48</f>
        <v>4.1369176090836763</v>
      </c>
      <c r="F48" s="3">
        <f t="shared" si="3"/>
        <v>8.2738352181673527</v>
      </c>
      <c r="G48" s="121">
        <f>IF((('Raw Data'!C48)/('Raw Data'!C$136)*100)&lt;0,0,('Raw Data'!C48)/('Raw Data'!C$136)*100)</f>
        <v>0</v>
      </c>
      <c r="H48" s="121">
        <f t="shared" si="4"/>
        <v>0</v>
      </c>
      <c r="I48" s="118">
        <f t="shared" si="5"/>
        <v>3.8697620333129179E-2</v>
      </c>
      <c r="J48" s="3">
        <f>'Raw Data'!F48/I48</f>
        <v>0</v>
      </c>
      <c r="K48" s="27">
        <f t="shared" si="6"/>
        <v>4.3127572373216128E-2</v>
      </c>
      <c r="L48" s="121">
        <f>A48*Table!$AC$9/$AC$16</f>
        <v>4.9747183639362964</v>
      </c>
      <c r="M48" s="121">
        <f>A48*Table!$AD$9/$AC$16</f>
        <v>1.7056177247781585</v>
      </c>
      <c r="N48" s="121">
        <f>ABS(A48*Table!$AE$9/$AC$16)</f>
        <v>2.1541162399208966</v>
      </c>
      <c r="O48" s="121">
        <f>($L48*(Table!$AC$10/Table!$AC$9)/(Table!$AC$12-Table!$AC$14))</f>
        <v>10.670781561424919</v>
      </c>
      <c r="P48" s="121">
        <f>ROUND(($N48*(Table!$AE$10/Table!$AE$9)/(Table!$AC$12-Table!$AC$13)),2)</f>
        <v>17.690000000000001</v>
      </c>
      <c r="Q48" s="121">
        <f>'Raw Data'!C48</f>
        <v>0</v>
      </c>
      <c r="R48" s="121">
        <f>'Raw Data'!C48/'Raw Data'!I$30*100</f>
        <v>0</v>
      </c>
      <c r="S48" s="156">
        <f t="shared" si="7"/>
        <v>0</v>
      </c>
      <c r="T48" s="156">
        <f t="shared" si="8"/>
        <v>1</v>
      </c>
      <c r="U48" s="29">
        <f t="shared" si="9"/>
        <v>0</v>
      </c>
      <c r="V48" s="29">
        <f t="shared" si="10"/>
        <v>0</v>
      </c>
      <c r="W48" s="29">
        <f t="shared" si="11"/>
        <v>0</v>
      </c>
      <c r="X48" s="93">
        <f t="shared" si="12"/>
        <v>0</v>
      </c>
      <c r="AS48" s="19"/>
      <c r="AT48" s="19"/>
    </row>
    <row r="49" spans="1:46" ht="12.4" customHeight="1" x14ac:dyDescent="0.2">
      <c r="A49" s="121">
        <v>24.306196212768555</v>
      </c>
      <c r="B49" s="143">
        <v>0</v>
      </c>
      <c r="C49" s="143">
        <f t="shared" si="1"/>
        <v>1</v>
      </c>
      <c r="D49" s="16">
        <f t="shared" si="2"/>
        <v>0</v>
      </c>
      <c r="E49" s="3">
        <f>(2*Table!$AC$16*0.147)/A49</f>
        <v>3.7708526855820943</v>
      </c>
      <c r="F49" s="3">
        <f t="shared" si="3"/>
        <v>7.5417053711641886</v>
      </c>
      <c r="G49" s="121">
        <f>IF((('Raw Data'!C49)/('Raw Data'!C$136)*100)&lt;0,0,('Raw Data'!C49)/('Raw Data'!C$136)*100)</f>
        <v>0</v>
      </c>
      <c r="H49" s="121">
        <f t="shared" si="4"/>
        <v>0</v>
      </c>
      <c r="I49" s="118">
        <f t="shared" si="5"/>
        <v>4.0237305240486299E-2</v>
      </c>
      <c r="J49" s="3">
        <f>'Raw Data'!F49/I49</f>
        <v>0</v>
      </c>
      <c r="K49" s="27">
        <f t="shared" si="6"/>
        <v>4.7314288959089117E-2</v>
      </c>
      <c r="L49" s="121">
        <f>A49*Table!$AC$9/$AC$16</f>
        <v>5.4576515488626498</v>
      </c>
      <c r="M49" s="121">
        <f>A49*Table!$AD$9/$AC$16</f>
        <v>1.8711948167529084</v>
      </c>
      <c r="N49" s="121">
        <f>ABS(A49*Table!$AE$9/$AC$16)</f>
        <v>2.3632324431592715</v>
      </c>
      <c r="O49" s="121">
        <f>($L49*(Table!$AC$10/Table!$AC$9)/(Table!$AC$12-Table!$AC$14))</f>
        <v>11.706674278984664</v>
      </c>
      <c r="P49" s="121">
        <f>ROUND(($N49*(Table!$AE$10/Table!$AE$9)/(Table!$AC$12-Table!$AC$13)),2)</f>
        <v>19.399999999999999</v>
      </c>
      <c r="Q49" s="121">
        <f>'Raw Data'!C49</f>
        <v>0</v>
      </c>
      <c r="R49" s="121">
        <f>'Raw Data'!C49/'Raw Data'!I$30*100</f>
        <v>0</v>
      </c>
      <c r="S49" s="156">
        <f t="shared" si="7"/>
        <v>0</v>
      </c>
      <c r="T49" s="156">
        <f t="shared" si="8"/>
        <v>1</v>
      </c>
      <c r="U49" s="29">
        <f t="shared" si="9"/>
        <v>0</v>
      </c>
      <c r="V49" s="29">
        <f t="shared" si="10"/>
        <v>0</v>
      </c>
      <c r="W49" s="29">
        <f t="shared" si="11"/>
        <v>0</v>
      </c>
      <c r="X49" s="93">
        <f t="shared" si="12"/>
        <v>0</v>
      </c>
      <c r="AS49" s="19"/>
      <c r="AT49" s="19"/>
    </row>
    <row r="50" spans="1:46" ht="12.4" customHeight="1" x14ac:dyDescent="0.2">
      <c r="A50" s="121">
        <v>26.600929260253906</v>
      </c>
      <c r="B50" s="143">
        <v>6.4724919093851142E-5</v>
      </c>
      <c r="C50" s="143">
        <f t="shared" si="1"/>
        <v>0.99993527508090618</v>
      </c>
      <c r="D50" s="16">
        <f t="shared" si="2"/>
        <v>6.4724919093851142E-5</v>
      </c>
      <c r="E50" s="3">
        <f>(2*Table!$AC$16*0.147)/A50</f>
        <v>3.4455595279579638</v>
      </c>
      <c r="F50" s="3">
        <f t="shared" si="3"/>
        <v>6.8911190559159277</v>
      </c>
      <c r="G50" s="121">
        <f>IF((('Raw Data'!C50)/('Raw Data'!C$136)*100)&lt;0,0,('Raw Data'!C50)/('Raw Data'!C$136)*100)</f>
        <v>0</v>
      </c>
      <c r="H50" s="121">
        <f t="shared" si="4"/>
        <v>0</v>
      </c>
      <c r="I50" s="118">
        <f t="shared" si="5"/>
        <v>3.9179808826887652E-2</v>
      </c>
      <c r="J50" s="3">
        <f>'Raw Data'!F50/I50</f>
        <v>0</v>
      </c>
      <c r="K50" s="27">
        <f t="shared" si="6"/>
        <v>5.1781201903520022E-2</v>
      </c>
      <c r="L50" s="121">
        <f>A50*Table!$AC$9/$AC$16</f>
        <v>5.9729050776832429</v>
      </c>
      <c r="M50" s="121">
        <f>A50*Table!$AD$9/$AC$16</f>
        <v>2.0478531694913977</v>
      </c>
      <c r="N50" s="121">
        <f>ABS(A50*Table!$AE$9/$AC$16)</f>
        <v>2.586343765833377</v>
      </c>
      <c r="O50" s="121">
        <f>($L50*(Table!$AC$10/Table!$AC$9)/(Table!$AC$12-Table!$AC$14))</f>
        <v>12.81189420352476</v>
      </c>
      <c r="P50" s="121">
        <f>ROUND(($N50*(Table!$AE$10/Table!$AE$9)/(Table!$AC$12-Table!$AC$13)),2)</f>
        <v>21.23</v>
      </c>
      <c r="Q50" s="121">
        <f>'Raw Data'!C50</f>
        <v>0</v>
      </c>
      <c r="R50" s="121">
        <f>'Raw Data'!C50/'Raw Data'!I$30*100</f>
        <v>0</v>
      </c>
      <c r="S50" s="156">
        <f t="shared" si="7"/>
        <v>7.6628352490421491E-4</v>
      </c>
      <c r="T50" s="156">
        <f t="shared" si="8"/>
        <v>0.99638397583987137</v>
      </c>
      <c r="U50" s="29">
        <f t="shared" si="9"/>
        <v>0</v>
      </c>
      <c r="V50" s="29">
        <f t="shared" si="10"/>
        <v>0</v>
      </c>
      <c r="W50" s="29">
        <f t="shared" si="11"/>
        <v>1.1371533008335164E-3</v>
      </c>
      <c r="X50" s="93">
        <f t="shared" si="12"/>
        <v>1.1371533008335164E-3</v>
      </c>
      <c r="AS50" s="19"/>
      <c r="AT50" s="19"/>
    </row>
    <row r="51" spans="1:46" ht="12.4" customHeight="1" x14ac:dyDescent="0.2">
      <c r="A51" s="121">
        <v>28.999906539916992</v>
      </c>
      <c r="B51" s="143">
        <v>4.5307443365695792E-4</v>
      </c>
      <c r="C51" s="143">
        <f t="shared" si="1"/>
        <v>0.99954692556634306</v>
      </c>
      <c r="D51" s="16">
        <f t="shared" si="2"/>
        <v>3.8834951456310677E-4</v>
      </c>
      <c r="E51" s="3">
        <f>(2*Table!$AC$16*0.147)/A51</f>
        <v>3.1605303671942795</v>
      </c>
      <c r="F51" s="3">
        <f t="shared" si="3"/>
        <v>6.321060734388559</v>
      </c>
      <c r="G51" s="121">
        <f>IF((('Raw Data'!C51)/('Raw Data'!C$136)*100)&lt;0,0,('Raw Data'!C51)/('Raw Data'!C$136)*100)</f>
        <v>1.9346200555724769E-2</v>
      </c>
      <c r="H51" s="121">
        <f t="shared" si="4"/>
        <v>1.9346200555724769E-2</v>
      </c>
      <c r="I51" s="118">
        <f t="shared" si="5"/>
        <v>3.7499790000835864E-2</v>
      </c>
      <c r="J51" s="3">
        <f>'Raw Data'!F51/I51</f>
        <v>5.159015705232895E-3</v>
      </c>
      <c r="K51" s="27">
        <f t="shared" si="6"/>
        <v>5.6451036015886885E-2</v>
      </c>
      <c r="L51" s="121">
        <f>A51*Table!$AC$9/$AC$16</f>
        <v>6.5115653415694377</v>
      </c>
      <c r="M51" s="121">
        <f>A51*Table!$AD$9/$AC$16</f>
        <v>2.2325366885380928</v>
      </c>
      <c r="N51" s="121">
        <f>ABS(A51*Table!$AE$9/$AC$16)</f>
        <v>2.8195905021007146</v>
      </c>
      <c r="O51" s="121">
        <f>($L51*(Table!$AC$10/Table!$AC$9)/(Table!$AC$12-Table!$AC$14))</f>
        <v>13.967321624988072</v>
      </c>
      <c r="P51" s="121">
        <f>ROUND(($N51*(Table!$AE$10/Table!$AE$9)/(Table!$AC$12-Table!$AC$13)),2)</f>
        <v>23.15</v>
      </c>
      <c r="Q51" s="121">
        <f>'Raw Data'!C51</f>
        <v>2.9882118572795158E-4</v>
      </c>
      <c r="R51" s="121">
        <f>'Raw Data'!C51/'Raw Data'!I$30*100</f>
        <v>2.7088664857430464E-3</v>
      </c>
      <c r="S51" s="156">
        <f t="shared" si="7"/>
        <v>4.597701149425289E-3</v>
      </c>
      <c r="T51" s="156">
        <f t="shared" si="8"/>
        <v>0.97812892722332967</v>
      </c>
      <c r="U51" s="29">
        <f t="shared" si="9"/>
        <v>9.3409490200060488E-5</v>
      </c>
      <c r="V51" s="29">
        <f t="shared" si="10"/>
        <v>6.1221516024546012E-5</v>
      </c>
      <c r="W51" s="29">
        <f t="shared" si="11"/>
        <v>5.7407771275616156E-3</v>
      </c>
      <c r="X51" s="93">
        <f t="shared" si="12"/>
        <v>6.8779304283951318E-3</v>
      </c>
      <c r="AS51" s="19"/>
      <c r="AT51" s="19"/>
    </row>
    <row r="52" spans="1:46" ht="12.4" customHeight="1" x14ac:dyDescent="0.2">
      <c r="A52" s="121">
        <v>31.355197906494141</v>
      </c>
      <c r="B52" s="143">
        <v>4.5307443365695792E-4</v>
      </c>
      <c r="C52" s="143">
        <f t="shared" si="1"/>
        <v>0.99954692556634306</v>
      </c>
      <c r="D52" s="16">
        <f t="shared" si="2"/>
        <v>0</v>
      </c>
      <c r="E52" s="3">
        <f>(2*Table!$AC$16*0.147)/A52</f>
        <v>2.9231225246459207</v>
      </c>
      <c r="F52" s="3">
        <f t="shared" si="3"/>
        <v>5.8462450492918414</v>
      </c>
      <c r="G52" s="121">
        <f>IF((('Raw Data'!C52)/('Raw Data'!C$136)*100)&lt;0,0,('Raw Data'!C52)/('Raw Data'!C$136)*100)</f>
        <v>1.9346200555724769E-2</v>
      </c>
      <c r="H52" s="121">
        <f t="shared" si="4"/>
        <v>0</v>
      </c>
      <c r="I52" s="118">
        <f t="shared" si="5"/>
        <v>3.3912948013527677E-2</v>
      </c>
      <c r="J52" s="3">
        <f>'Raw Data'!F52/I52</f>
        <v>0</v>
      </c>
      <c r="K52" s="27">
        <f t="shared" si="6"/>
        <v>6.1035831404090732E-2</v>
      </c>
      <c r="L52" s="121">
        <f>A52*Table!$AC$9/$AC$16</f>
        <v>7.0404164815133319</v>
      </c>
      <c r="M52" s="121">
        <f>A52*Table!$AD$9/$AC$16</f>
        <v>2.4138570793759992</v>
      </c>
      <c r="N52" s="121">
        <f>ABS(A52*Table!$AE$9/$AC$16)</f>
        <v>3.0485897631066003</v>
      </c>
      <c r="O52" s="121">
        <f>($L52*(Table!$AC$10/Table!$AC$9)/(Table!$AC$12-Table!$AC$14))</f>
        <v>15.101708454554554</v>
      </c>
      <c r="P52" s="121">
        <f>ROUND(($N52*(Table!$AE$10/Table!$AE$9)/(Table!$AC$12-Table!$AC$13)),2)</f>
        <v>25.03</v>
      </c>
      <c r="Q52" s="121">
        <f>'Raw Data'!C52</f>
        <v>2.9882118572795158E-4</v>
      </c>
      <c r="R52" s="121">
        <f>'Raw Data'!C52/'Raw Data'!I$30*100</f>
        <v>2.7088664857430464E-3</v>
      </c>
      <c r="S52" s="156">
        <f t="shared" si="7"/>
        <v>0</v>
      </c>
      <c r="T52" s="156">
        <f t="shared" si="8"/>
        <v>0.97812892722332967</v>
      </c>
      <c r="U52" s="29">
        <f t="shared" si="9"/>
        <v>8.6392900271951357E-5</v>
      </c>
      <c r="V52" s="29">
        <f t="shared" si="10"/>
        <v>5.3648463066308814E-5</v>
      </c>
      <c r="W52" s="29">
        <f t="shared" si="11"/>
        <v>0</v>
      </c>
      <c r="X52" s="93">
        <f t="shared" si="12"/>
        <v>6.8779304283951318E-3</v>
      </c>
      <c r="AS52" s="19"/>
      <c r="AT52" s="19"/>
    </row>
    <row r="53" spans="1:46" ht="12.4" customHeight="1" x14ac:dyDescent="0.2">
      <c r="A53" s="121">
        <v>33.925983428955078</v>
      </c>
      <c r="B53" s="143">
        <v>4.5307443365695792E-4</v>
      </c>
      <c r="C53" s="143">
        <f t="shared" si="1"/>
        <v>0.99954692556634306</v>
      </c>
      <c r="D53" s="16">
        <f t="shared" si="2"/>
        <v>0</v>
      </c>
      <c r="E53" s="3">
        <f>(2*Table!$AC$16*0.147)/A53</f>
        <v>2.7016191131832614</v>
      </c>
      <c r="F53" s="3">
        <f t="shared" si="3"/>
        <v>5.4032382263665228</v>
      </c>
      <c r="G53" s="121">
        <f>IF((('Raw Data'!C53)/('Raw Data'!C$136)*100)&lt;0,0,('Raw Data'!C53)/('Raw Data'!C$136)*100)</f>
        <v>1.9346200555724769E-2</v>
      </c>
      <c r="H53" s="121">
        <f t="shared" si="4"/>
        <v>0</v>
      </c>
      <c r="I53" s="118">
        <f t="shared" si="5"/>
        <v>3.4222899336568691E-2</v>
      </c>
      <c r="J53" s="3">
        <f>'Raw Data'!F53/I53</f>
        <v>0</v>
      </c>
      <c r="K53" s="27">
        <f t="shared" si="6"/>
        <v>6.6040106363315421E-2</v>
      </c>
      <c r="L53" s="121">
        <f>A53*Table!$AC$9/$AC$16</f>
        <v>7.6176541317665674</v>
      </c>
      <c r="M53" s="121">
        <f>A53*Table!$AD$9/$AC$16</f>
        <v>2.6117671308913946</v>
      </c>
      <c r="N53" s="121">
        <f>ABS(A53*Table!$AE$9/$AC$16)</f>
        <v>3.2985409976766693</v>
      </c>
      <c r="O53" s="121">
        <f>($L53*(Table!$AC$10/Table!$AC$9)/(Table!$AC$12-Table!$AC$14))</f>
        <v>16.339884452523741</v>
      </c>
      <c r="P53" s="121">
        <f>ROUND(($N53*(Table!$AE$10/Table!$AE$9)/(Table!$AC$12-Table!$AC$13)),2)</f>
        <v>27.08</v>
      </c>
      <c r="Q53" s="121">
        <f>'Raw Data'!C53</f>
        <v>2.9882118572795158E-4</v>
      </c>
      <c r="R53" s="121">
        <f>'Raw Data'!C53/'Raw Data'!I$30*100</f>
        <v>2.7088664857430464E-3</v>
      </c>
      <c r="S53" s="156">
        <f t="shared" si="7"/>
        <v>0</v>
      </c>
      <c r="T53" s="156">
        <f t="shared" si="8"/>
        <v>0.97812892722332967</v>
      </c>
      <c r="U53" s="29">
        <f t="shared" si="9"/>
        <v>7.9846365881057664E-5</v>
      </c>
      <c r="V53" s="29">
        <f t="shared" si="10"/>
        <v>4.695548837634561E-5</v>
      </c>
      <c r="W53" s="29">
        <f t="shared" si="11"/>
        <v>0</v>
      </c>
      <c r="X53" s="93">
        <f t="shared" si="12"/>
        <v>6.8779304283951318E-3</v>
      </c>
      <c r="Z53" s="143"/>
      <c r="AS53" s="19"/>
      <c r="AT53" s="19"/>
    </row>
    <row r="54" spans="1:46" ht="12.4" customHeight="1" x14ac:dyDescent="0.2">
      <c r="A54" s="121">
        <v>37.120223999023438</v>
      </c>
      <c r="B54" s="143">
        <v>4.5307443365695792E-4</v>
      </c>
      <c r="C54" s="143">
        <f t="shared" si="1"/>
        <v>0.99954692556634306</v>
      </c>
      <c r="D54" s="16">
        <f t="shared" si="2"/>
        <v>0</v>
      </c>
      <c r="E54" s="3">
        <f>(2*Table!$AC$16*0.147)/A54</f>
        <v>2.4691414919159675</v>
      </c>
      <c r="F54" s="3">
        <f t="shared" si="3"/>
        <v>4.9382829838319351</v>
      </c>
      <c r="G54" s="121">
        <f>IF((('Raw Data'!C54)/('Raw Data'!C$136)*100)&lt;0,0,('Raw Data'!C54)/('Raw Data'!C$136)*100)</f>
        <v>1.9346200555724769E-2</v>
      </c>
      <c r="H54" s="121">
        <f t="shared" si="4"/>
        <v>0</v>
      </c>
      <c r="I54" s="118">
        <f t="shared" si="5"/>
        <v>3.9078142650786296E-2</v>
      </c>
      <c r="J54" s="3">
        <f>'Raw Data'!F54/I54</f>
        <v>0</v>
      </c>
      <c r="K54" s="27">
        <f t="shared" si="6"/>
        <v>7.2257995004305922E-2</v>
      </c>
      <c r="L54" s="121">
        <f>A54*Table!$AC$9/$AC$16</f>
        <v>8.3348807945512426</v>
      </c>
      <c r="M54" s="121">
        <f>A54*Table!$AD$9/$AC$16</f>
        <v>2.8576734152747116</v>
      </c>
      <c r="N54" s="121">
        <f>ABS(A54*Table!$AE$9/$AC$16)</f>
        <v>3.6091092527982012</v>
      </c>
      <c r="O54" s="121">
        <f>($L54*(Table!$AC$10/Table!$AC$9)/(Table!$AC$12-Table!$AC$14))</f>
        <v>17.878337182649602</v>
      </c>
      <c r="P54" s="121">
        <f>ROUND(($N54*(Table!$AE$10/Table!$AE$9)/(Table!$AC$12-Table!$AC$13)),2)</f>
        <v>29.63</v>
      </c>
      <c r="Q54" s="121">
        <f>'Raw Data'!C54</f>
        <v>2.9882118572795158E-4</v>
      </c>
      <c r="R54" s="121">
        <f>'Raw Data'!C54/'Raw Data'!I$30*100</f>
        <v>2.7088664857430464E-3</v>
      </c>
      <c r="S54" s="156">
        <f t="shared" si="7"/>
        <v>0</v>
      </c>
      <c r="T54" s="156">
        <f t="shared" si="8"/>
        <v>0.97812892722332967</v>
      </c>
      <c r="U54" s="29">
        <f t="shared" si="9"/>
        <v>7.2975488666617735E-5</v>
      </c>
      <c r="V54" s="29">
        <f t="shared" si="10"/>
        <v>4.0327864266860995E-5</v>
      </c>
      <c r="W54" s="29">
        <f t="shared" si="11"/>
        <v>0</v>
      </c>
      <c r="X54" s="93">
        <f t="shared" si="12"/>
        <v>6.8779304283951318E-3</v>
      </c>
      <c r="Z54" s="143"/>
      <c r="AS54" s="19"/>
      <c r="AT54" s="19"/>
    </row>
    <row r="55" spans="1:46" ht="12.4" customHeight="1" x14ac:dyDescent="0.2">
      <c r="A55" s="121">
        <v>41.669708251953125</v>
      </c>
      <c r="B55" s="143">
        <v>4.5307443365695792E-4</v>
      </c>
      <c r="C55" s="143">
        <f t="shared" si="1"/>
        <v>0.99954692556634306</v>
      </c>
      <c r="D55" s="16">
        <f t="shared" si="2"/>
        <v>0</v>
      </c>
      <c r="E55" s="3">
        <f>(2*Table!$AC$16*0.147)/A55</f>
        <v>2.1995614826726708</v>
      </c>
      <c r="F55" s="3">
        <f t="shared" si="3"/>
        <v>4.3991229653453416</v>
      </c>
      <c r="G55" s="121">
        <f>IF((('Raw Data'!C55)/('Raw Data'!C$136)*100)&lt;0,0,('Raw Data'!C55)/('Raw Data'!C$136)*100)</f>
        <v>1.9346200555724769E-2</v>
      </c>
      <c r="H55" s="121">
        <f t="shared" si="4"/>
        <v>0</v>
      </c>
      <c r="I55" s="118">
        <f t="shared" si="5"/>
        <v>5.0209871510227211E-2</v>
      </c>
      <c r="J55" s="3">
        <f>'Raw Data'!F55/I55</f>
        <v>0</v>
      </c>
      <c r="K55" s="27">
        <f t="shared" si="6"/>
        <v>8.1113992490447442E-2</v>
      </c>
      <c r="L55" s="121">
        <f>A55*Table!$AC$9/$AC$16</f>
        <v>9.3564104309525344</v>
      </c>
      <c r="M55" s="121">
        <f>A55*Table!$AD$9/$AC$16</f>
        <v>3.2079121477551547</v>
      </c>
      <c r="N55" s="121">
        <f>ABS(A55*Table!$AE$9/$AC$16)</f>
        <v>4.0514445607193013</v>
      </c>
      <c r="O55" s="121">
        <f>($L55*(Table!$AC$10/Table!$AC$9)/(Table!$AC$12-Table!$AC$14))</f>
        <v>20.069520443913635</v>
      </c>
      <c r="P55" s="121">
        <f>ROUND(($N55*(Table!$AE$10/Table!$AE$9)/(Table!$AC$12-Table!$AC$13)),2)</f>
        <v>33.26</v>
      </c>
      <c r="Q55" s="121">
        <f>'Raw Data'!C55</f>
        <v>2.9882118572795158E-4</v>
      </c>
      <c r="R55" s="121">
        <f>'Raw Data'!C55/'Raw Data'!I$30*100</f>
        <v>2.7088664857430464E-3</v>
      </c>
      <c r="S55" s="156">
        <f t="shared" si="7"/>
        <v>0</v>
      </c>
      <c r="T55" s="156">
        <f t="shared" si="8"/>
        <v>0.97812892722332967</v>
      </c>
      <c r="U55" s="29">
        <f t="shared" si="9"/>
        <v>6.5008050197137569E-5</v>
      </c>
      <c r="V55" s="29">
        <f t="shared" si="10"/>
        <v>3.3166552415678841E-5</v>
      </c>
      <c r="W55" s="29">
        <f t="shared" si="11"/>
        <v>0</v>
      </c>
      <c r="X55" s="93">
        <f t="shared" si="12"/>
        <v>6.8779304283951318E-3</v>
      </c>
      <c r="Z55" s="143"/>
      <c r="AS55" s="19"/>
      <c r="AT55" s="19"/>
    </row>
    <row r="56" spans="1:46" ht="12.4" customHeight="1" x14ac:dyDescent="0.2">
      <c r="A56" s="121">
        <v>44.641792297363281</v>
      </c>
      <c r="B56" s="143">
        <v>4.5307443365695792E-4</v>
      </c>
      <c r="C56" s="143">
        <f t="shared" si="1"/>
        <v>0.99954692556634306</v>
      </c>
      <c r="D56" s="16">
        <f t="shared" si="2"/>
        <v>0</v>
      </c>
      <c r="E56" s="3">
        <f>(2*Table!$AC$16*0.147)/A56</f>
        <v>2.0531228821343079</v>
      </c>
      <c r="F56" s="3">
        <f t="shared" si="3"/>
        <v>4.1062457642686159</v>
      </c>
      <c r="G56" s="121">
        <f>IF((('Raw Data'!C56)/('Raw Data'!C$136)*100)&lt;0,0,('Raw Data'!C56)/('Raw Data'!C$136)*100)</f>
        <v>1.9346200555724769E-2</v>
      </c>
      <c r="H56" s="121">
        <f t="shared" si="4"/>
        <v>0</v>
      </c>
      <c r="I56" s="118">
        <f t="shared" si="5"/>
        <v>2.9921162735914386E-2</v>
      </c>
      <c r="J56" s="3">
        <f>'Raw Data'!F56/I56</f>
        <v>0</v>
      </c>
      <c r="K56" s="27">
        <f t="shared" si="6"/>
        <v>8.6899432635185653E-2</v>
      </c>
      <c r="L56" s="121">
        <f>A56*Table!$AC$9/$AC$16</f>
        <v>10.023754632068696</v>
      </c>
      <c r="M56" s="121">
        <f>A56*Table!$AD$9/$AC$16</f>
        <v>3.4367158738521244</v>
      </c>
      <c r="N56" s="121">
        <f>ABS(A56*Table!$AE$9/$AC$16)</f>
        <v>4.3404130763367155</v>
      </c>
      <c r="O56" s="121">
        <f>($L56*(Table!$AC$10/Table!$AC$9)/(Table!$AC$12-Table!$AC$14))</f>
        <v>21.500975186762542</v>
      </c>
      <c r="P56" s="121">
        <f>ROUND(($N56*(Table!$AE$10/Table!$AE$9)/(Table!$AC$12-Table!$AC$13)),2)</f>
        <v>35.64</v>
      </c>
      <c r="Q56" s="121">
        <f>'Raw Data'!C56</f>
        <v>2.9882118572795158E-4</v>
      </c>
      <c r="R56" s="121">
        <f>'Raw Data'!C56/'Raw Data'!I$30*100</f>
        <v>2.7088664857430464E-3</v>
      </c>
      <c r="S56" s="156">
        <f t="shared" si="7"/>
        <v>0</v>
      </c>
      <c r="T56" s="156">
        <f t="shared" si="8"/>
        <v>0.97812892722332967</v>
      </c>
      <c r="U56" s="29">
        <f t="shared" si="9"/>
        <v>6.0680056654065894E-5</v>
      </c>
      <c r="V56" s="29">
        <f t="shared" si="10"/>
        <v>2.9519136128646261E-5</v>
      </c>
      <c r="W56" s="29">
        <f t="shared" si="11"/>
        <v>0</v>
      </c>
      <c r="X56" s="93">
        <f t="shared" si="12"/>
        <v>6.8779304283951318E-3</v>
      </c>
      <c r="Z56" s="143"/>
      <c r="AS56" s="19"/>
      <c r="AT56" s="19"/>
    </row>
    <row r="57" spans="1:46" ht="12.4" customHeight="1" x14ac:dyDescent="0.2">
      <c r="A57" s="121">
        <v>49.825927734375</v>
      </c>
      <c r="B57" s="143">
        <v>5.8252427184466023E-4</v>
      </c>
      <c r="C57" s="143">
        <f t="shared" si="1"/>
        <v>0.99941747572815531</v>
      </c>
      <c r="D57" s="16">
        <f t="shared" si="2"/>
        <v>1.2944983818770231E-4</v>
      </c>
      <c r="E57" s="3">
        <f>(2*Table!$AC$16*0.147)/A57</f>
        <v>1.8395058443030379</v>
      </c>
      <c r="F57" s="3">
        <f t="shared" si="3"/>
        <v>3.6790116886060757</v>
      </c>
      <c r="G57" s="121">
        <f>IF((('Raw Data'!C57)/('Raw Data'!C$136)*100)&lt;0,0,('Raw Data'!C57)/('Raw Data'!C$136)*100)</f>
        <v>3.2294546576503588E-2</v>
      </c>
      <c r="H57" s="121">
        <f t="shared" si="4"/>
        <v>1.2948346020778819E-2</v>
      </c>
      <c r="I57" s="118">
        <f t="shared" si="5"/>
        <v>4.7713771282193673E-2</v>
      </c>
      <c r="J57" s="3">
        <f>'Raw Data'!F57/I57</f>
        <v>2.7137544723091337E-3</v>
      </c>
      <c r="K57" s="27">
        <f t="shared" si="6"/>
        <v>9.69908381320677E-2</v>
      </c>
      <c r="L57" s="121">
        <f>A57*Table!$AC$9/$AC$16</f>
        <v>11.187787233042178</v>
      </c>
      <c r="M57" s="121">
        <f>A57*Table!$AD$9/$AC$16</f>
        <v>3.8358127656144609</v>
      </c>
      <c r="N57" s="121">
        <f>ABS(A57*Table!$AE$9/$AC$16)</f>
        <v>4.8444539779748697</v>
      </c>
      <c r="O57" s="121">
        <f>($L57*(Table!$AC$10/Table!$AC$9)/(Table!$AC$12-Table!$AC$14))</f>
        <v>23.997827612703087</v>
      </c>
      <c r="P57" s="121">
        <f>ROUND(($N57*(Table!$AE$10/Table!$AE$9)/(Table!$AC$12-Table!$AC$13)),2)</f>
        <v>39.770000000000003</v>
      </c>
      <c r="Q57" s="121">
        <f>'Raw Data'!C57</f>
        <v>4.9882118572795037E-4</v>
      </c>
      <c r="R57" s="121">
        <f>'Raw Data'!C57/'Raw Data'!I$30*100</f>
        <v>4.5219015817279723E-3</v>
      </c>
      <c r="S57" s="156">
        <f t="shared" si="7"/>
        <v>1.5325670498084303E-3</v>
      </c>
      <c r="T57" s="156">
        <f t="shared" si="8"/>
        <v>0.97606761324606472</v>
      </c>
      <c r="U57" s="29">
        <f t="shared" si="9"/>
        <v>9.0753986676063515E-5</v>
      </c>
      <c r="V57" s="29">
        <f t="shared" si="10"/>
        <v>5.8307418598874201E-5</v>
      </c>
      <c r="W57" s="29">
        <f t="shared" si="11"/>
        <v>6.4823405195881889E-4</v>
      </c>
      <c r="X57" s="93">
        <f t="shared" si="12"/>
        <v>7.5261644803539512E-3</v>
      </c>
      <c r="Z57" s="143"/>
      <c r="AS57" s="19"/>
      <c r="AT57" s="19"/>
    </row>
    <row r="58" spans="1:46" ht="12.4" customHeight="1" x14ac:dyDescent="0.2">
      <c r="A58" s="121">
        <v>54.188117980957031</v>
      </c>
      <c r="B58" s="143">
        <v>9.0614886731391585E-4</v>
      </c>
      <c r="C58" s="143">
        <f t="shared" si="1"/>
        <v>0.99909385113268612</v>
      </c>
      <c r="D58" s="16">
        <f t="shared" si="2"/>
        <v>3.2362459546925561E-4</v>
      </c>
      <c r="E58" s="3">
        <f>(2*Table!$AC$16*0.147)/A58</f>
        <v>1.6914240368601354</v>
      </c>
      <c r="F58" s="3">
        <f t="shared" si="3"/>
        <v>3.3828480737202709</v>
      </c>
      <c r="G58" s="121">
        <f>IF((('Raw Data'!C58)/('Raw Data'!C$136)*100)&lt;0,0,('Raw Data'!C58)/('Raw Data'!C$136)*100)</f>
        <v>6.4665411628450867E-2</v>
      </c>
      <c r="H58" s="121">
        <f t="shared" si="4"/>
        <v>3.2370865051947278E-2</v>
      </c>
      <c r="I58" s="118">
        <f t="shared" si="5"/>
        <v>3.6448673901972373E-2</v>
      </c>
      <c r="J58" s="3">
        <f>'Raw Data'!F58/I58</f>
        <v>8.8812188720521802E-3</v>
      </c>
      <c r="K58" s="27">
        <f t="shared" si="6"/>
        <v>0.10548225028124138</v>
      </c>
      <c r="L58" s="121">
        <f>A58*Table!$AC$9/$AC$16</f>
        <v>12.167262349069814</v>
      </c>
      <c r="M58" s="121">
        <f>A58*Table!$AD$9/$AC$16</f>
        <v>4.1716328053953644</v>
      </c>
      <c r="N58" s="121">
        <f>ABS(A58*Table!$AE$9/$AC$16)</f>
        <v>5.2685791444021914</v>
      </c>
      <c r="O58" s="121">
        <f>($L58*(Table!$AC$10/Table!$AC$9)/(Table!$AC$12-Table!$AC$14))</f>
        <v>26.098803837558595</v>
      </c>
      <c r="P58" s="121">
        <f>ROUND(($N58*(Table!$AE$10/Table!$AE$9)/(Table!$AC$12-Table!$AC$13)),2)</f>
        <v>43.26</v>
      </c>
      <c r="Q58" s="121">
        <f>'Raw Data'!C58</f>
        <v>9.9882118572795081E-4</v>
      </c>
      <c r="R58" s="121">
        <f>'Raw Data'!C58/'Raw Data'!I$30*100</f>
        <v>9.0544893216903191E-3</v>
      </c>
      <c r="S58" s="156">
        <f t="shared" si="7"/>
        <v>3.8314176245210735E-3</v>
      </c>
      <c r="T58" s="156">
        <f t="shared" si="8"/>
        <v>0.97171062077988779</v>
      </c>
      <c r="U58" s="29">
        <f t="shared" si="9"/>
        <v>1.6709362973027183E-4</v>
      </c>
      <c r="V58" s="29">
        <f t="shared" si="10"/>
        <v>1.6368092665386693E-4</v>
      </c>
      <c r="W58" s="29">
        <f t="shared" si="11"/>
        <v>1.3701701496495388E-3</v>
      </c>
      <c r="X58" s="93">
        <f t="shared" si="12"/>
        <v>8.8963346300034891E-3</v>
      </c>
      <c r="Z58" s="143"/>
      <c r="AS58" s="19"/>
      <c r="AT58" s="19"/>
    </row>
    <row r="59" spans="1:46" ht="12.4" customHeight="1" x14ac:dyDescent="0.2">
      <c r="A59" s="121">
        <v>59.015975952148438</v>
      </c>
      <c r="B59" s="143">
        <v>1.2297734627831716E-3</v>
      </c>
      <c r="C59" s="143">
        <f t="shared" si="1"/>
        <v>0.99877022653721681</v>
      </c>
      <c r="D59" s="16">
        <f t="shared" si="2"/>
        <v>3.2362459546925572E-4</v>
      </c>
      <c r="E59" s="3">
        <f>(2*Table!$AC$16*0.147)/A59</f>
        <v>1.5530554868654509</v>
      </c>
      <c r="F59" s="3">
        <f t="shared" si="3"/>
        <v>3.1061109737309018</v>
      </c>
      <c r="G59" s="121">
        <f>IF((('Raw Data'!C59)/('Raw Data'!C$136)*100)&lt;0,0,('Raw Data'!C59)/('Raw Data'!C$136)*100)</f>
        <v>9.7036276680398145E-2</v>
      </c>
      <c r="H59" s="121">
        <f t="shared" si="4"/>
        <v>3.2370865051947278E-2</v>
      </c>
      <c r="I59" s="118">
        <f t="shared" si="5"/>
        <v>3.7065525783521736E-2</v>
      </c>
      <c r="J59" s="3">
        <f>'Raw Data'!F59/I59</f>
        <v>8.733415854129992E-3</v>
      </c>
      <c r="K59" s="27">
        <f t="shared" si="6"/>
        <v>0.11488012829978526</v>
      </c>
      <c r="L59" s="121">
        <f>A59*Table!$AC$9/$AC$16</f>
        <v>13.251297312974208</v>
      </c>
      <c r="M59" s="121">
        <f>A59*Table!$AD$9/$AC$16</f>
        <v>4.5433019358768707</v>
      </c>
      <c r="N59" s="121">
        <f>ABS(A59*Table!$AE$9/$AC$16)</f>
        <v>5.7379800530680676</v>
      </c>
      <c r="O59" s="121">
        <f>($L59*(Table!$AC$10/Table!$AC$9)/(Table!$AC$12-Table!$AC$14))</f>
        <v>28.424061160390838</v>
      </c>
      <c r="P59" s="121">
        <f>ROUND(($N59*(Table!$AE$10/Table!$AE$9)/(Table!$AC$12-Table!$AC$13)),2)</f>
        <v>47.11</v>
      </c>
      <c r="Q59" s="121">
        <f>'Raw Data'!C59</f>
        <v>1.4988211857279513E-3</v>
      </c>
      <c r="R59" s="121">
        <f>'Raw Data'!C59/'Raw Data'!I$30*100</f>
        <v>1.3587077061652665E-2</v>
      </c>
      <c r="S59" s="156">
        <f t="shared" si="7"/>
        <v>3.8314176245210748E-3</v>
      </c>
      <c r="T59" s="156">
        <f t="shared" si="8"/>
        <v>0.96803732620486527</v>
      </c>
      <c r="U59" s="29">
        <f t="shared" si="9"/>
        <v>2.3022710109325977E-4</v>
      </c>
      <c r="V59" s="29">
        <f t="shared" si="10"/>
        <v>2.8143586699700557E-4</v>
      </c>
      <c r="W59" s="29">
        <f t="shared" si="11"/>
        <v>1.1551634795416111E-3</v>
      </c>
      <c r="X59" s="93">
        <f t="shared" si="12"/>
        <v>1.0051498109545101E-2</v>
      </c>
      <c r="Z59" s="143"/>
      <c r="AS59" s="19"/>
      <c r="AT59" s="19"/>
    </row>
    <row r="60" spans="1:46" ht="12.4" customHeight="1" x14ac:dyDescent="0.2">
      <c r="A60" s="121">
        <v>64.038360595703125</v>
      </c>
      <c r="B60" s="143">
        <v>1.9417475728155341E-3</v>
      </c>
      <c r="C60" s="143">
        <f t="shared" si="1"/>
        <v>0.99805825242718449</v>
      </c>
      <c r="D60" s="16">
        <f t="shared" si="2"/>
        <v>7.1197411003236255E-4</v>
      </c>
      <c r="E60" s="3">
        <f>(2*Table!$AC$16*0.147)/A60</f>
        <v>1.4312528367778601</v>
      </c>
      <c r="F60" s="3">
        <f t="shared" si="3"/>
        <v>2.8625056735557202</v>
      </c>
      <c r="G60" s="121">
        <f>IF((('Raw Data'!C60)/('Raw Data'!C$136)*100)&lt;0,0,('Raw Data'!C60)/('Raw Data'!C$136)*100)</f>
        <v>0.16825217979468235</v>
      </c>
      <c r="H60" s="121">
        <f t="shared" si="4"/>
        <v>7.1215903114284204E-2</v>
      </c>
      <c r="I60" s="118">
        <f t="shared" si="5"/>
        <v>3.5470611815951542E-2</v>
      </c>
      <c r="J60" s="3">
        <f>'Raw Data'!F60/I60</f>
        <v>2.0077438608560337E-2</v>
      </c>
      <c r="K60" s="27">
        <f t="shared" si="6"/>
        <v>0.12465667071755797</v>
      </c>
      <c r="L60" s="121">
        <f>A60*Table!$AC$9/$AC$16</f>
        <v>14.379010801705157</v>
      </c>
      <c r="M60" s="121">
        <f>A60*Table!$AD$9/$AC$16</f>
        <v>4.9299465605846251</v>
      </c>
      <c r="N60" s="121">
        <f>ABS(A60*Table!$AE$9/$AC$16)</f>
        <v>6.2262943177837577</v>
      </c>
      <c r="O60" s="121">
        <f>($L60*(Table!$AC$10/Table!$AC$9)/(Table!$AC$12-Table!$AC$14))</f>
        <v>30.843009012666577</v>
      </c>
      <c r="P60" s="121">
        <f>ROUND(($N60*(Table!$AE$10/Table!$AE$9)/(Table!$AC$12-Table!$AC$13)),2)</f>
        <v>51.12</v>
      </c>
      <c r="Q60" s="121">
        <f>'Raw Data'!C60</f>
        <v>2.598821185727955E-3</v>
      </c>
      <c r="R60" s="121">
        <f>'Raw Data'!C60/'Raw Data'!I$30*100</f>
        <v>2.3558770089569851E-2</v>
      </c>
      <c r="S60" s="156">
        <f t="shared" si="7"/>
        <v>8.4291187739463647E-3</v>
      </c>
      <c r="T60" s="156">
        <f t="shared" si="8"/>
        <v>0.96117395932542715</v>
      </c>
      <c r="U60" s="29">
        <f t="shared" si="9"/>
        <v>3.6788527798681042E-4</v>
      </c>
      <c r="V60" s="29">
        <f t="shared" si="10"/>
        <v>6.2171676511120922E-4</v>
      </c>
      <c r="W60" s="29">
        <f t="shared" si="11"/>
        <v>2.1583650872252298E-3</v>
      </c>
      <c r="X60" s="93">
        <f t="shared" si="12"/>
        <v>1.2209863196770331E-2</v>
      </c>
      <c r="Z60" s="143"/>
      <c r="AS60" s="19"/>
      <c r="AT60" s="19"/>
    </row>
    <row r="61" spans="1:46" ht="12.4" customHeight="1" x14ac:dyDescent="0.2">
      <c r="A61" s="121">
        <v>70.489471435546875</v>
      </c>
      <c r="B61" s="143">
        <v>3.1715210355987055E-3</v>
      </c>
      <c r="C61" s="143">
        <f t="shared" si="1"/>
        <v>0.9968284789644013</v>
      </c>
      <c r="D61" s="16">
        <f t="shared" si="2"/>
        <v>1.2297734627831714E-3</v>
      </c>
      <c r="E61" s="3">
        <f>(2*Table!$AC$16*0.147)/A61</f>
        <v>1.3002663149348461</v>
      </c>
      <c r="F61" s="3">
        <f t="shared" si="3"/>
        <v>2.6005326298696922</v>
      </c>
      <c r="G61" s="121">
        <f>IF((('Raw Data'!C61)/('Raw Data'!C$136)*100)&lt;0,0,('Raw Data'!C61)/('Raw Data'!C$136)*100)</f>
        <v>0.29126146699208183</v>
      </c>
      <c r="H61" s="121">
        <f t="shared" si="4"/>
        <v>0.12300928719739948</v>
      </c>
      <c r="I61" s="118">
        <f t="shared" si="5"/>
        <v>4.1684048728303405E-2</v>
      </c>
      <c r="J61" s="3">
        <f>'Raw Data'!F61/I61</f>
        <v>2.9509918290129132E-2</v>
      </c>
      <c r="K61" s="27">
        <f t="shared" si="6"/>
        <v>0.1372143625798139</v>
      </c>
      <c r="L61" s="121">
        <f>A61*Table!$AC$9/$AC$16</f>
        <v>15.827526840938907</v>
      </c>
      <c r="M61" s="121">
        <f>A61*Table!$AD$9/$AC$16</f>
        <v>5.4265806311790534</v>
      </c>
      <c r="N61" s="121">
        <f>ABS(A61*Table!$AE$9/$AC$16)</f>
        <v>6.8535201616665793</v>
      </c>
      <c r="O61" s="121">
        <f>($L61*(Table!$AC$10/Table!$AC$9)/(Table!$AC$12-Table!$AC$14))</f>
        <v>33.950079023892982</v>
      </c>
      <c r="P61" s="121">
        <f>ROUND(($N61*(Table!$AE$10/Table!$AE$9)/(Table!$AC$12-Table!$AC$13)),2)</f>
        <v>56.27</v>
      </c>
      <c r="Q61" s="121">
        <f>'Raw Data'!C61</f>
        <v>4.4988211857279539E-3</v>
      </c>
      <c r="R61" s="121">
        <f>'Raw Data'!C61/'Raw Data'!I$30*100</f>
        <v>4.0782603501426741E-2</v>
      </c>
      <c r="S61" s="156">
        <f t="shared" si="7"/>
        <v>1.455938697318008E-2</v>
      </c>
      <c r="T61" s="156">
        <f t="shared" si="8"/>
        <v>0.95138965318284141</v>
      </c>
      <c r="U61" s="29">
        <f t="shared" si="9"/>
        <v>5.7856304879115084E-4</v>
      </c>
      <c r="V61" s="29">
        <f t="shared" si="10"/>
        <v>1.3369276876586391E-3</v>
      </c>
      <c r="W61" s="29">
        <f t="shared" si="11"/>
        <v>3.0769307763726678E-3</v>
      </c>
      <c r="X61" s="93">
        <f t="shared" si="12"/>
        <v>1.5286793973142998E-2</v>
      </c>
      <c r="Z61" s="143"/>
      <c r="AS61" s="19"/>
      <c r="AT61" s="19"/>
    </row>
    <row r="62" spans="1:46" ht="12.4" customHeight="1" x14ac:dyDescent="0.2">
      <c r="A62" s="121">
        <v>76.763862609863281</v>
      </c>
      <c r="B62" s="143">
        <v>5.0485436893203881E-3</v>
      </c>
      <c r="C62" s="143">
        <f t="shared" si="1"/>
        <v>0.99495145631067961</v>
      </c>
      <c r="D62" s="16">
        <f t="shared" si="2"/>
        <v>1.8770226537216826E-3</v>
      </c>
      <c r="E62" s="3">
        <f>(2*Table!$AC$16*0.147)/A62</f>
        <v>1.193987406952435</v>
      </c>
      <c r="F62" s="3">
        <f t="shared" si="3"/>
        <v>2.38797481390487</v>
      </c>
      <c r="G62" s="121">
        <f>IF((('Raw Data'!C62)/('Raw Data'!C$136)*100)&lt;0,0,('Raw Data'!C62)/('Raw Data'!C$136)*100)</f>
        <v>0.47901248429337584</v>
      </c>
      <c r="H62" s="121">
        <f t="shared" si="4"/>
        <v>0.18775101730129401</v>
      </c>
      <c r="I62" s="118">
        <f t="shared" si="5"/>
        <v>3.7032565447802826E-2</v>
      </c>
      <c r="J62" s="3">
        <f>'Raw Data'!F62/I62</f>
        <v>5.0698895696526323E-2</v>
      </c>
      <c r="K62" s="27">
        <f t="shared" si="6"/>
        <v>0.14942805305055953</v>
      </c>
      <c r="L62" s="121">
        <f>A62*Table!$AC$9/$AC$16</f>
        <v>17.236362695423175</v>
      </c>
      <c r="M62" s="121">
        <f>A62*Table!$AD$9/$AC$16</f>
        <v>5.9096100670022311</v>
      </c>
      <c r="N62" s="121">
        <f>ABS(A62*Table!$AE$9/$AC$16)</f>
        <v>7.4635639815394459</v>
      </c>
      <c r="O62" s="121">
        <f>($L62*(Table!$AC$10/Table!$AC$9)/(Table!$AC$12-Table!$AC$14))</f>
        <v>36.972034953717667</v>
      </c>
      <c r="P62" s="121">
        <f>ROUND(($N62*(Table!$AE$10/Table!$AE$9)/(Table!$AC$12-Table!$AC$13)),2)</f>
        <v>61.28</v>
      </c>
      <c r="Q62" s="121">
        <f>'Raw Data'!C62</f>
        <v>7.3988211857279537E-3</v>
      </c>
      <c r="R62" s="121">
        <f>'Raw Data'!C62/'Raw Data'!I$30*100</f>
        <v>6.707161239320833E-2</v>
      </c>
      <c r="S62" s="156">
        <f t="shared" si="7"/>
        <v>2.2222222222222227E-2</v>
      </c>
      <c r="T62" s="156">
        <f t="shared" si="8"/>
        <v>0.93879723032561879</v>
      </c>
      <c r="U62" s="29">
        <f t="shared" si="9"/>
        <v>8.7373941478278863E-4</v>
      </c>
      <c r="V62" s="29">
        <f t="shared" si="10"/>
        <v>2.6844154819567804E-3</v>
      </c>
      <c r="W62" s="29">
        <f t="shared" si="11"/>
        <v>3.960016466558333E-3</v>
      </c>
      <c r="X62" s="93">
        <f t="shared" si="12"/>
        <v>1.9246810439701331E-2</v>
      </c>
      <c r="Z62" s="143"/>
      <c r="AS62" s="19"/>
      <c r="AT62" s="19"/>
    </row>
    <row r="63" spans="1:46" x14ac:dyDescent="0.2">
      <c r="A63" s="121">
        <v>84.832046508789063</v>
      </c>
      <c r="B63" s="143">
        <v>8.4142394822006479E-3</v>
      </c>
      <c r="C63" s="143">
        <f t="shared" si="1"/>
        <v>0.99158576051779934</v>
      </c>
      <c r="D63" s="16">
        <f t="shared" si="2"/>
        <v>3.3656957928802599E-3</v>
      </c>
      <c r="E63" s="3">
        <f>(2*Table!$AC$16*0.147)/A63</f>
        <v>1.0804299676503464</v>
      </c>
      <c r="F63" s="3">
        <f t="shared" si="3"/>
        <v>2.1608599353006928</v>
      </c>
      <c r="G63" s="121">
        <f>IF((('Raw Data'!C63)/('Raw Data'!C$136)*100)&lt;0,0,('Raw Data'!C63)/('Raw Data'!C$136)*100)</f>
        <v>0.81566948083362734</v>
      </c>
      <c r="H63" s="121">
        <f t="shared" si="4"/>
        <v>0.3366569965402515</v>
      </c>
      <c r="I63" s="118">
        <f t="shared" si="5"/>
        <v>4.3403124677124719E-2</v>
      </c>
      <c r="J63" s="3">
        <f>'Raw Data'!F63/I63</f>
        <v>7.7565152058668263E-2</v>
      </c>
      <c r="K63" s="27">
        <f t="shared" si="6"/>
        <v>0.16513352917801336</v>
      </c>
      <c r="L63" s="121">
        <f>A63*Table!$AC$9/$AC$16</f>
        <v>19.047972211244879</v>
      </c>
      <c r="M63" s="121">
        <f>A63*Table!$AD$9/$AC$16</f>
        <v>6.5307333295696726</v>
      </c>
      <c r="N63" s="121">
        <f>ABS(A63*Table!$AE$9/$AC$16)</f>
        <v>8.2480139127590579</v>
      </c>
      <c r="O63" s="121">
        <f>($L63*(Table!$AC$10/Table!$AC$9)/(Table!$AC$12-Table!$AC$14))</f>
        <v>40.857941251061526</v>
      </c>
      <c r="P63" s="121">
        <f>ROUND(($N63*(Table!$AE$10/Table!$AE$9)/(Table!$AC$12-Table!$AC$13)),2)</f>
        <v>67.72</v>
      </c>
      <c r="Q63" s="121">
        <f>'Raw Data'!C63</f>
        <v>1.2598821185727957E-2</v>
      </c>
      <c r="R63" s="121">
        <f>'Raw Data'!C63/'Raw Data'!I$30*100</f>
        <v>0.11421052488881671</v>
      </c>
      <c r="S63" s="156">
        <f t="shared" si="7"/>
        <v>3.9846743295019187E-2</v>
      </c>
      <c r="T63" s="156">
        <f t="shared" si="8"/>
        <v>0.92030844433946046</v>
      </c>
      <c r="U63" s="29">
        <f t="shared" si="9"/>
        <v>1.3463134462633043E-3</v>
      </c>
      <c r="V63" s="29">
        <f t="shared" si="10"/>
        <v>5.5764664243219096E-3</v>
      </c>
      <c r="W63" s="29">
        <f t="shared" si="11"/>
        <v>5.8142819520919861E-3</v>
      </c>
      <c r="X63" s="93">
        <f t="shared" si="12"/>
        <v>2.5061092391793317E-2</v>
      </c>
      <c r="AS63" s="19"/>
      <c r="AT63" s="19"/>
    </row>
    <row r="64" spans="1:46" x14ac:dyDescent="0.2">
      <c r="A64" s="121">
        <v>91.871368408203125</v>
      </c>
      <c r="B64" s="143">
        <v>1.4045307443365697E-2</v>
      </c>
      <c r="C64" s="143">
        <f t="shared" si="1"/>
        <v>0.98595469255663426</v>
      </c>
      <c r="D64" s="16">
        <f t="shared" si="2"/>
        <v>5.6310679611650486E-3</v>
      </c>
      <c r="E64" s="3">
        <f>(2*Table!$AC$16*0.147)/A64</f>
        <v>0.99764580470774644</v>
      </c>
      <c r="F64" s="3">
        <f t="shared" si="3"/>
        <v>1.9952916094154929</v>
      </c>
      <c r="G64" s="121">
        <f>IF((('Raw Data'!C64)/('Raw Data'!C$136)*100)&lt;0,0,('Raw Data'!C64)/('Raw Data'!C$136)*100)</f>
        <v>1.3789225327375094</v>
      </c>
      <c r="H64" s="121">
        <f t="shared" si="4"/>
        <v>0.56325305190388208</v>
      </c>
      <c r="I64" s="118">
        <f t="shared" si="5"/>
        <v>3.4620241011840379E-2</v>
      </c>
      <c r="J64" s="3">
        <f>'Raw Data'!F64/I64</f>
        <v>0.16269472292559875</v>
      </c>
      <c r="K64" s="27">
        <f t="shared" si="6"/>
        <v>0.17883622899617563</v>
      </c>
      <c r="L64" s="121">
        <f>A64*Table!$AC$9/$AC$16</f>
        <v>20.628563667471916</v>
      </c>
      <c r="M64" s="121">
        <f>A64*Table!$AD$9/$AC$16</f>
        <v>7.0726504002760855</v>
      </c>
      <c r="N64" s="121">
        <f>ABS(A64*Table!$AE$9/$AC$16)</f>
        <v>8.9324300898076832</v>
      </c>
      <c r="O64" s="121">
        <f>($L64*(Table!$AC$10/Table!$AC$9)/(Table!$AC$12-Table!$AC$14))</f>
        <v>44.248313315040583</v>
      </c>
      <c r="P64" s="121">
        <f>ROUND(($N64*(Table!$AE$10/Table!$AE$9)/(Table!$AC$12-Table!$AC$13)),2)</f>
        <v>73.34</v>
      </c>
      <c r="Q64" s="121">
        <f>'Raw Data'!C64</f>
        <v>2.1298821185727956E-2</v>
      </c>
      <c r="R64" s="121">
        <f>'Raw Data'!C64/'Raw Data'!I$30*100</f>
        <v>0.19307755156416145</v>
      </c>
      <c r="S64" s="156">
        <f t="shared" si="7"/>
        <v>6.6666666666666693E-2</v>
      </c>
      <c r="T64" s="156">
        <f t="shared" si="8"/>
        <v>0.89393396940983361</v>
      </c>
      <c r="U64" s="29">
        <f t="shared" si="9"/>
        <v>2.1016074421170991E-3</v>
      </c>
      <c r="V64" s="29">
        <f t="shared" si="10"/>
        <v>1.1841525304399586E-2</v>
      </c>
      <c r="W64" s="29">
        <f t="shared" si="11"/>
        <v>8.2941429304247277E-3</v>
      </c>
      <c r="X64" s="93">
        <f t="shared" si="12"/>
        <v>3.3355235322218041E-2</v>
      </c>
      <c r="AS64" s="19"/>
      <c r="AT64" s="19"/>
    </row>
    <row r="65" spans="1:46" x14ac:dyDescent="0.2">
      <c r="A65" s="121">
        <v>102.19837188720703</v>
      </c>
      <c r="B65" s="143">
        <v>2.608414239482201E-2</v>
      </c>
      <c r="C65" s="143">
        <f t="shared" si="1"/>
        <v>0.97391585760517796</v>
      </c>
      <c r="D65" s="16">
        <f t="shared" si="2"/>
        <v>1.2038834951456313E-2</v>
      </c>
      <c r="E65" s="3">
        <f>(2*Table!$AC$16*0.147)/A65</f>
        <v>0.89683508232753772</v>
      </c>
      <c r="F65" s="3">
        <f t="shared" si="3"/>
        <v>1.7936701646550754</v>
      </c>
      <c r="G65" s="121">
        <f>IF((('Raw Data'!C65)/('Raw Data'!C$136)*100)&lt;0,0,('Raw Data'!C65)/('Raw Data'!C$136)*100)</f>
        <v>2.5831187126699477</v>
      </c>
      <c r="H65" s="121">
        <f t="shared" si="4"/>
        <v>1.2041961799324383</v>
      </c>
      <c r="I65" s="118">
        <f t="shared" si="5"/>
        <v>4.6263791983746846E-2</v>
      </c>
      <c r="J65" s="3">
        <f>'Raw Data'!F65/I65</f>
        <v>0.26028912207531324</v>
      </c>
      <c r="K65" s="27">
        <f t="shared" si="6"/>
        <v>0.19893870913786191</v>
      </c>
      <c r="L65" s="121">
        <f>A65*Table!$AC$9/$AC$16</f>
        <v>22.947362793379074</v>
      </c>
      <c r="M65" s="121">
        <f>A65*Table!$AD$9/$AC$16</f>
        <v>7.8676672434442541</v>
      </c>
      <c r="N65" s="121">
        <f>ABS(A65*Table!$AE$9/$AC$16)</f>
        <v>9.9364995644620588</v>
      </c>
      <c r="O65" s="121">
        <f>($L65*(Table!$AC$10/Table!$AC$9)/(Table!$AC$12-Table!$AC$14))</f>
        <v>49.222142413940539</v>
      </c>
      <c r="P65" s="121">
        <f>ROUND(($N65*(Table!$AE$10/Table!$AE$9)/(Table!$AC$12-Table!$AC$13)),2)</f>
        <v>81.58</v>
      </c>
      <c r="Q65" s="121">
        <f>'Raw Data'!C65</f>
        <v>3.9898821185727962E-2</v>
      </c>
      <c r="R65" s="121">
        <f>'Raw Data'!C65/'Raw Data'!I$30*100</f>
        <v>0.36168981549076062</v>
      </c>
      <c r="S65" s="156">
        <f t="shared" si="7"/>
        <v>0.14252873563218399</v>
      </c>
      <c r="T65" s="156">
        <f t="shared" si="8"/>
        <v>0.84836702259027652</v>
      </c>
      <c r="U65" s="29">
        <f t="shared" si="9"/>
        <v>3.5390956706232634E-3</v>
      </c>
      <c r="V65" s="29">
        <f t="shared" si="10"/>
        <v>2.8585762414633537E-2</v>
      </c>
      <c r="W65" s="29">
        <f t="shared" si="11"/>
        <v>1.4329717305572814E-2</v>
      </c>
      <c r="X65" s="93">
        <f t="shared" si="12"/>
        <v>4.7684952627790857E-2</v>
      </c>
      <c r="AS65" s="19"/>
      <c r="AT65" s="19"/>
    </row>
    <row r="66" spans="1:46" x14ac:dyDescent="0.2">
      <c r="A66" s="121">
        <v>111.03816986083984</v>
      </c>
      <c r="B66" s="143">
        <v>5.2362459546925567E-2</v>
      </c>
      <c r="C66" s="143">
        <f t="shared" si="1"/>
        <v>0.94763754045307447</v>
      </c>
      <c r="D66" s="16">
        <f t="shared" si="2"/>
        <v>2.6278317152103558E-2</v>
      </c>
      <c r="E66" s="3">
        <f>(2*Table!$AC$16*0.147)/A66</f>
        <v>0.82543764347045412</v>
      </c>
      <c r="F66" s="3">
        <f t="shared" si="3"/>
        <v>1.6508752869409082</v>
      </c>
      <c r="G66" s="121">
        <f>IF((('Raw Data'!C66)/('Raw Data'!C$136)*100)&lt;0,0,('Raw Data'!C66)/('Raw Data'!C$136)*100)</f>
        <v>5.2116329548880636</v>
      </c>
      <c r="H66" s="121">
        <f t="shared" si="4"/>
        <v>2.6285142422181158</v>
      </c>
      <c r="I66" s="118">
        <f t="shared" si="5"/>
        <v>3.6028317948000467E-2</v>
      </c>
      <c r="J66" s="3">
        <f>'Raw Data'!F66/I66</f>
        <v>0.72956895906487806</v>
      </c>
      <c r="K66" s="27">
        <f t="shared" si="6"/>
        <v>0.21614620437912549</v>
      </c>
      <c r="L66" s="121">
        <f>A66*Table!$AC$9/$AC$16</f>
        <v>24.9322285732861</v>
      </c>
      <c r="M66" s="121">
        <f>A66*Table!$AD$9/$AC$16</f>
        <v>8.5481926536980914</v>
      </c>
      <c r="N66" s="121">
        <f>ABS(A66*Table!$AE$9/$AC$16)</f>
        <v>10.795971658713007</v>
      </c>
      <c r="O66" s="121">
        <f>($L66*(Table!$AC$10/Table!$AC$9)/(Table!$AC$12-Table!$AC$14))</f>
        <v>53.479683769382461</v>
      </c>
      <c r="P66" s="121">
        <f>ROUND(($N66*(Table!$AE$10/Table!$AE$9)/(Table!$AC$12-Table!$AC$13)),2)</f>
        <v>88.64</v>
      </c>
      <c r="Q66" s="121">
        <f>'Raw Data'!C66</f>
        <v>8.0498821185727959E-2</v>
      </c>
      <c r="R66" s="121">
        <f>'Raw Data'!C66/'Raw Data'!I$30*100</f>
        <v>0.72973593997570274</v>
      </c>
      <c r="S66" s="156">
        <f t="shared" si="7"/>
        <v>0.31111111111111123</v>
      </c>
      <c r="T66" s="156">
        <f t="shared" si="8"/>
        <v>0.76410994662163711</v>
      </c>
      <c r="U66" s="29">
        <f t="shared" si="9"/>
        <v>6.5719377479857115E-3</v>
      </c>
      <c r="V66" s="29">
        <f t="shared" si="10"/>
        <v>8.1412764915597582E-2</v>
      </c>
      <c r="W66" s="29">
        <f t="shared" si="11"/>
        <v>2.6496839571146652E-2</v>
      </c>
      <c r="X66" s="93">
        <f t="shared" si="12"/>
        <v>7.4181792198937502E-2</v>
      </c>
      <c r="AS66" s="19"/>
      <c r="AT66" s="19"/>
    </row>
    <row r="67" spans="1:46" x14ac:dyDescent="0.2">
      <c r="A67" s="121">
        <v>120.67512512207031</v>
      </c>
      <c r="B67" s="143">
        <v>9.5533980582524283E-2</v>
      </c>
      <c r="C67" s="143">
        <f t="shared" si="1"/>
        <v>0.90446601941747573</v>
      </c>
      <c r="D67" s="16">
        <f t="shared" si="2"/>
        <v>4.3171521035598716E-2</v>
      </c>
      <c r="E67" s="3">
        <f>(2*Table!$AC$16*0.147)/A67</f>
        <v>0.75951928926934098</v>
      </c>
      <c r="F67" s="3">
        <f t="shared" si="3"/>
        <v>1.519038578538682</v>
      </c>
      <c r="G67" s="121">
        <f>IF((('Raw Data'!C67)/('Raw Data'!C$136)*100)&lt;0,0,('Raw Data'!C67)/('Raw Data'!C$136)*100)</f>
        <v>9.5299063528178269</v>
      </c>
      <c r="H67" s="121">
        <f t="shared" si="4"/>
        <v>4.3182733979297634</v>
      </c>
      <c r="I67" s="118">
        <f t="shared" si="5"/>
        <v>3.6145462692782709E-2</v>
      </c>
      <c r="J67" s="3">
        <f>'Raw Data'!F67/I67</f>
        <v>1.1946930752091349</v>
      </c>
      <c r="K67" s="27">
        <f t="shared" si="6"/>
        <v>0.23490544099205729</v>
      </c>
      <c r="L67" s="121">
        <f>A67*Table!$AC$9/$AC$16</f>
        <v>27.096086025409569</v>
      </c>
      <c r="M67" s="121">
        <f>A67*Table!$AD$9/$AC$16</f>
        <v>9.2900866372832809</v>
      </c>
      <c r="N67" s="121">
        <f>ABS(A67*Table!$AE$9/$AC$16)</f>
        <v>11.732949420566605</v>
      </c>
      <c r="O67" s="121">
        <f>($L67*(Table!$AC$10/Table!$AC$9)/(Table!$AC$12-Table!$AC$14))</f>
        <v>58.121162645666175</v>
      </c>
      <c r="P67" s="121">
        <f>ROUND(($N67*(Table!$AE$10/Table!$AE$9)/(Table!$AC$12-Table!$AC$13)),2)</f>
        <v>96.33</v>
      </c>
      <c r="Q67" s="121">
        <f>'Raw Data'!C67</f>
        <v>0.14719882118572797</v>
      </c>
      <c r="R67" s="121">
        <f>'Raw Data'!C67/'Raw Data'!I$30*100</f>
        <v>1.3343831444866794</v>
      </c>
      <c r="S67" s="156">
        <f t="shared" si="7"/>
        <v>0.5111111111111114</v>
      </c>
      <c r="T67" s="156">
        <f t="shared" si="8"/>
        <v>0.64691328027156336</v>
      </c>
      <c r="U67" s="29">
        <f t="shared" si="9"/>
        <v>1.1057648733629808E-2</v>
      </c>
      <c r="V67" s="29">
        <f t="shared" si="10"/>
        <v>0.19624864778950546</v>
      </c>
      <c r="W67" s="29">
        <f t="shared" si="11"/>
        <v>3.6855554632668659E-2</v>
      </c>
      <c r="X67" s="93">
        <f t="shared" si="12"/>
        <v>0.11103734683160615</v>
      </c>
      <c r="AS67" s="19"/>
      <c r="AT67" s="19"/>
    </row>
    <row r="68" spans="1:46" x14ac:dyDescent="0.2">
      <c r="A68" s="121">
        <v>132.84747314453125</v>
      </c>
      <c r="B68" s="143">
        <v>0.16278317152103561</v>
      </c>
      <c r="C68" s="143">
        <f t="shared" si="1"/>
        <v>0.83721682847896439</v>
      </c>
      <c r="D68" s="16">
        <f t="shared" si="2"/>
        <v>6.7249190938511325E-2</v>
      </c>
      <c r="E68" s="3">
        <f>(2*Table!$AC$16*0.147)/A68</f>
        <v>0.68992720068892543</v>
      </c>
      <c r="F68" s="3">
        <f t="shared" si="3"/>
        <v>1.3798544013778509</v>
      </c>
      <c r="G68" s="121">
        <f>IF((('Raw Data'!C68)/('Raw Data'!C$136)*100)&lt;0,0,('Raw Data'!C68)/('Raw Data'!C$136)*100)</f>
        <v>16.25657211061246</v>
      </c>
      <c r="H68" s="121">
        <f t="shared" si="4"/>
        <v>6.7266657577946329</v>
      </c>
      <c r="I68" s="118">
        <f t="shared" si="5"/>
        <v>4.1735540438806895E-2</v>
      </c>
      <c r="J68" s="3">
        <f>'Raw Data'!F68/I68</f>
        <v>1.6117356303693597</v>
      </c>
      <c r="K68" s="27">
        <f t="shared" si="6"/>
        <v>0.25860005723739016</v>
      </c>
      <c r="L68" s="121">
        <f>A68*Table!$AC$9/$AC$16</f>
        <v>29.82923412709324</v>
      </c>
      <c r="M68" s="121">
        <f>A68*Table!$AD$9/$AC$16</f>
        <v>10.227165986431968</v>
      </c>
      <c r="N68" s="121">
        <f>ABS(A68*Table!$AE$9/$AC$16)</f>
        <v>12.916437264748239</v>
      </c>
      <c r="O68" s="121">
        <f>($L68*(Table!$AC$10/Table!$AC$9)/(Table!$AC$12-Table!$AC$14))</f>
        <v>63.983771186386193</v>
      </c>
      <c r="P68" s="121">
        <f>ROUND(($N68*(Table!$AE$10/Table!$AE$9)/(Table!$AC$12-Table!$AC$13)),2)</f>
        <v>106.05</v>
      </c>
      <c r="Q68" s="121">
        <f>'Raw Data'!C68</f>
        <v>0.25109882118572791</v>
      </c>
      <c r="R68" s="121">
        <f>'Raw Data'!C68/'Raw Data'!I$30*100</f>
        <v>2.2762548768508535</v>
      </c>
      <c r="S68" s="156">
        <f t="shared" si="7"/>
        <v>0.79616858237547916</v>
      </c>
      <c r="T68" s="156">
        <f t="shared" si="8"/>
        <v>0.49627550566945855</v>
      </c>
      <c r="U68" s="29">
        <f t="shared" si="9"/>
        <v>1.7134348309165087E-2</v>
      </c>
      <c r="V68" s="29">
        <f t="shared" si="10"/>
        <v>0.41156931893212478</v>
      </c>
      <c r="W68" s="29">
        <f t="shared" si="11"/>
        <v>4.7371985095615403E-2</v>
      </c>
      <c r="X68" s="93">
        <f t="shared" si="12"/>
        <v>0.15840933192722156</v>
      </c>
      <c r="AS68" s="19"/>
      <c r="AT68" s="19"/>
    </row>
    <row r="69" spans="1:46" x14ac:dyDescent="0.2">
      <c r="A69" s="121">
        <v>144.93611145019531</v>
      </c>
      <c r="B69" s="143">
        <v>0.2420064724919094</v>
      </c>
      <c r="C69" s="143">
        <f t="shared" si="1"/>
        <v>0.75799352750809057</v>
      </c>
      <c r="D69" s="16">
        <f t="shared" si="2"/>
        <v>7.9223300970873795E-2</v>
      </c>
      <c r="E69" s="3">
        <f>(2*Table!$AC$16*0.147)/A69</f>
        <v>0.63238267087563793</v>
      </c>
      <c r="F69" s="3">
        <f t="shared" si="3"/>
        <v>1.2647653417512759</v>
      </c>
      <c r="G69" s="121">
        <f>IF((('Raw Data'!C69)/('Raw Data'!C$136)*100)&lt;0,0,('Raw Data'!C69)/('Raw Data'!C$136)*100)</f>
        <v>24.180959875329151</v>
      </c>
      <c r="H69" s="121">
        <f t="shared" si="4"/>
        <v>7.9243877647166912</v>
      </c>
      <c r="I69" s="118">
        <f t="shared" si="5"/>
        <v>3.782330704726089E-2</v>
      </c>
      <c r="J69" s="3">
        <f>'Raw Data'!F69/I69</f>
        <v>2.0951070605262068</v>
      </c>
      <c r="K69" s="27">
        <f t="shared" si="6"/>
        <v>0.28213172467351649</v>
      </c>
      <c r="L69" s="121">
        <f>A69*Table!$AC$9/$AC$16</f>
        <v>32.543586261627951</v>
      </c>
      <c r="M69" s="121">
        <f>A69*Table!$AD$9/$AC$16</f>
        <v>11.157801003986727</v>
      </c>
      <c r="N69" s="121">
        <f>ABS(A69*Table!$AE$9/$AC$16)</f>
        <v>14.091786216410028</v>
      </c>
      <c r="O69" s="121">
        <f>($L69*(Table!$AC$10/Table!$AC$9)/(Table!$AC$12-Table!$AC$14))</f>
        <v>69.806062337254303</v>
      </c>
      <c r="P69" s="121">
        <f>ROUND(($N69*(Table!$AE$10/Table!$AE$9)/(Table!$AC$12-Table!$AC$13)),2)</f>
        <v>115.7</v>
      </c>
      <c r="Q69" s="121">
        <f>'Raw Data'!C69</f>
        <v>0.37349882118572797</v>
      </c>
      <c r="R69" s="121">
        <f>'Raw Data'!C69/'Raw Data'!I$30*100</f>
        <v>3.3858323555936356</v>
      </c>
      <c r="S69" s="156">
        <f t="shared" si="7"/>
        <v>0.93793103448275905</v>
      </c>
      <c r="T69" s="156">
        <f t="shared" si="8"/>
        <v>0.34718391533758197</v>
      </c>
      <c r="U69" s="29">
        <f t="shared" si="9"/>
        <v>2.3360861014662421E-2</v>
      </c>
      <c r="V69" s="29">
        <f t="shared" si="10"/>
        <v>0.69516441630250314</v>
      </c>
      <c r="W69" s="29">
        <f t="shared" si="11"/>
        <v>4.6885747042790998E-2</v>
      </c>
      <c r="X69" s="93">
        <f t="shared" si="12"/>
        <v>0.20529507897001256</v>
      </c>
      <c r="AS69" s="19"/>
      <c r="AT69" s="19"/>
    </row>
    <row r="70" spans="1:46" x14ac:dyDescent="0.2">
      <c r="A70" s="121">
        <v>158.12440490722656</v>
      </c>
      <c r="B70" s="143">
        <v>0.3264724919093851</v>
      </c>
      <c r="C70" s="143">
        <f t="shared" si="1"/>
        <v>0.6735275080906149</v>
      </c>
      <c r="D70" s="16">
        <f t="shared" si="2"/>
        <v>8.4466019417475696E-2</v>
      </c>
      <c r="E70" s="3">
        <f>(2*Table!$AC$16*0.147)/A70</f>
        <v>0.57963908429555033</v>
      </c>
      <c r="F70" s="3">
        <f t="shared" si="3"/>
        <v>1.1592781685911007</v>
      </c>
      <c r="G70" s="121">
        <f>IF((('Raw Data'!C70)/('Raw Data'!C$136)*100)&lt;0,0,('Raw Data'!C70)/('Raw Data'!C$136)*100)</f>
        <v>32.629755653887379</v>
      </c>
      <c r="H70" s="121">
        <f t="shared" si="4"/>
        <v>8.4487957785582282</v>
      </c>
      <c r="I70" s="118">
        <f t="shared" si="5"/>
        <v>3.7822298803319221E-2</v>
      </c>
      <c r="J70" s="3">
        <f>'Raw Data'!F70/I70</f>
        <v>2.2338133973540439</v>
      </c>
      <c r="K70" s="27">
        <f t="shared" si="6"/>
        <v>0.30780397392391312</v>
      </c>
      <c r="L70" s="121">
        <f>A70*Table!$AC$9/$AC$16</f>
        <v>35.504852170228268</v>
      </c>
      <c r="M70" s="121">
        <f>A70*Table!$AD$9/$AC$16</f>
        <v>12.173092172649692</v>
      </c>
      <c r="N70" s="121">
        <f>ABS(A70*Table!$AE$9/$AC$16)</f>
        <v>15.374051968514372</v>
      </c>
      <c r="O70" s="121">
        <f>($L70*(Table!$AC$10/Table!$AC$9)/(Table!$AC$12-Table!$AC$14))</f>
        <v>76.157984063123706</v>
      </c>
      <c r="P70" s="121">
        <f>ROUND(($N70*(Table!$AE$10/Table!$AE$9)/(Table!$AC$12-Table!$AC$13)),2)</f>
        <v>126.22</v>
      </c>
      <c r="Q70" s="121">
        <f>'Raw Data'!C70</f>
        <v>0.50399882118572792</v>
      </c>
      <c r="R70" s="121">
        <f>'Raw Data'!C70/'Raw Data'!I$30*100</f>
        <v>4.5688377557238065</v>
      </c>
      <c r="S70" s="156">
        <f t="shared" si="7"/>
        <v>1</v>
      </c>
      <c r="T70" s="156">
        <f t="shared" si="8"/>
        <v>0.2136358368915624</v>
      </c>
      <c r="U70" s="29">
        <f t="shared" si="9"/>
        <v>2.8893944349731446E-2</v>
      </c>
      <c r="V70" s="29">
        <f t="shared" si="10"/>
        <v>0.99585761491385161</v>
      </c>
      <c r="W70" s="29">
        <f t="shared" si="11"/>
        <v>4.1997683505373015E-2</v>
      </c>
      <c r="X70" s="93">
        <f t="shared" si="12"/>
        <v>0.24729276247538556</v>
      </c>
      <c r="AS70" s="19"/>
      <c r="AT70" s="19"/>
    </row>
    <row r="71" spans="1:46" x14ac:dyDescent="0.2">
      <c r="A71" s="121">
        <v>174.06202697753906</v>
      </c>
      <c r="B71" s="143">
        <v>0.38090614886731394</v>
      </c>
      <c r="C71" s="143">
        <f t="shared" si="1"/>
        <v>0.619093851132686</v>
      </c>
      <c r="D71" s="16">
        <f t="shared" si="2"/>
        <v>5.4433656957928844E-2</v>
      </c>
      <c r="E71" s="3">
        <f>(2*Table!$AC$16*0.147)/A71</f>
        <v>0.52656565511000741</v>
      </c>
      <c r="F71" s="3">
        <f t="shared" si="3"/>
        <v>1.0531313102200148</v>
      </c>
      <c r="G71" s="121">
        <f>IF((('Raw Data'!C71)/('Raw Data'!C$136)*100)&lt;0,0,('Raw Data'!C71)/('Raw Data'!C$136)*100)</f>
        <v>38.074535155624915</v>
      </c>
      <c r="H71" s="121">
        <f t="shared" si="4"/>
        <v>5.4447795017375356</v>
      </c>
      <c r="I71" s="118">
        <f t="shared" si="5"/>
        <v>4.1705132559135299E-2</v>
      </c>
      <c r="J71" s="3">
        <f>'Raw Data'!F71/I71</f>
        <v>1.3055418284589237</v>
      </c>
      <c r="K71" s="27">
        <f t="shared" si="6"/>
        <v>0.33882804899327301</v>
      </c>
      <c r="L71" s="121">
        <f>A71*Table!$AC$9/$AC$16</f>
        <v>39.083445341114263</v>
      </c>
      <c r="M71" s="121">
        <f>A71*Table!$AD$9/$AC$16</f>
        <v>13.400038402667748</v>
      </c>
      <c r="N71" s="121">
        <f>ABS(A71*Table!$AE$9/$AC$16)</f>
        <v>16.923628266412759</v>
      </c>
      <c r="O71" s="121">
        <f>($L71*(Table!$AC$10/Table!$AC$9)/(Table!$AC$12-Table!$AC$14))</f>
        <v>83.83407409076419</v>
      </c>
      <c r="P71" s="121">
        <f>ROUND(($N71*(Table!$AE$10/Table!$AE$9)/(Table!$AC$12-Table!$AC$13)),2)</f>
        <v>138.94999999999999</v>
      </c>
      <c r="Q71" s="121">
        <f>'Raw Data'!C71</f>
        <v>0.58809882118572798</v>
      </c>
      <c r="R71" s="121">
        <f>'Raw Data'!C71/'Raw Data'!I$30*100</f>
        <v>5.3312190135854722</v>
      </c>
      <c r="S71" s="156">
        <f t="shared" si="7"/>
        <v>0.64444444444444515</v>
      </c>
      <c r="T71" s="156">
        <f t="shared" si="8"/>
        <v>0.142610571925882</v>
      </c>
      <c r="U71" s="29">
        <f t="shared" si="9"/>
        <v>3.0628271462525322E-2</v>
      </c>
      <c r="V71" s="29">
        <f t="shared" si="10"/>
        <v>1.0990210793031179</v>
      </c>
      <c r="W71" s="29">
        <f t="shared" si="11"/>
        <v>2.2335750791948657E-2</v>
      </c>
      <c r="X71" s="93">
        <f t="shared" si="12"/>
        <v>0.26962851326733422</v>
      </c>
      <c r="AS71" s="19"/>
      <c r="AT71" s="19"/>
    </row>
    <row r="72" spans="1:46" x14ac:dyDescent="0.2">
      <c r="A72" s="121">
        <v>190.40737915039062</v>
      </c>
      <c r="B72" s="143">
        <v>0.41139158576051787</v>
      </c>
      <c r="C72" s="143">
        <f t="shared" si="1"/>
        <v>0.58860841423948207</v>
      </c>
      <c r="D72" s="16">
        <f t="shared" si="2"/>
        <v>3.0485436893203932E-2</v>
      </c>
      <c r="E72" s="3">
        <f>(2*Table!$AC$16*0.147)/A72</f>
        <v>0.4813630946141596</v>
      </c>
      <c r="F72" s="3">
        <f t="shared" si="3"/>
        <v>0.96272618922831921</v>
      </c>
      <c r="G72" s="121">
        <f>IF((('Raw Data'!C72)/('Raw Data'!C$136)*100)&lt;0,0,('Raw Data'!C72)/('Raw Data'!C$136)*100)</f>
        <v>41.123870643518345</v>
      </c>
      <c r="H72" s="121">
        <f t="shared" si="4"/>
        <v>3.0493354878934298</v>
      </c>
      <c r="I72" s="118">
        <f t="shared" si="5"/>
        <v>3.8979738619509596E-2</v>
      </c>
      <c r="J72" s="3">
        <f>'Raw Data'!F72/I72</f>
        <v>0.78228731025077303</v>
      </c>
      <c r="K72" s="27">
        <f t="shared" si="6"/>
        <v>0.37064580892060001</v>
      </c>
      <c r="L72" s="121">
        <f>A72*Table!$AC$9/$AC$16</f>
        <v>42.753589193405162</v>
      </c>
      <c r="M72" s="121">
        <f>A72*Table!$AD$9/$AC$16</f>
        <v>14.658373437738913</v>
      </c>
      <c r="N72" s="121">
        <f>ABS(A72*Table!$AE$9/$AC$16)</f>
        <v>18.512847172226362</v>
      </c>
      <c r="O72" s="121">
        <f>($L72*(Table!$AC$10/Table!$AC$9)/(Table!$AC$12-Table!$AC$14))</f>
        <v>91.706540526394605</v>
      </c>
      <c r="P72" s="121">
        <f>ROUND(($N72*(Table!$AE$10/Table!$AE$9)/(Table!$AC$12-Table!$AC$13)),2)</f>
        <v>151.99</v>
      </c>
      <c r="Q72" s="121">
        <f>'Raw Data'!C72</f>
        <v>0.63519882118572801</v>
      </c>
      <c r="R72" s="121">
        <f>'Raw Data'!C72/'Raw Data'!I$30*100</f>
        <v>5.7581887786899255</v>
      </c>
      <c r="S72" s="156">
        <f t="shared" si="7"/>
        <v>0.36091954022988576</v>
      </c>
      <c r="T72" s="156">
        <f t="shared" si="8"/>
        <v>0.10936924920554936</v>
      </c>
      <c r="U72" s="29">
        <f t="shared" si="9"/>
        <v>3.0241416085780477E-2</v>
      </c>
      <c r="V72" s="29">
        <f t="shared" si="10"/>
        <v>1.0756502603856046</v>
      </c>
      <c r="W72" s="29">
        <f t="shared" si="11"/>
        <v>1.0453602681170624E-2</v>
      </c>
      <c r="X72" s="93">
        <f t="shared" si="12"/>
        <v>0.28008211594850485</v>
      </c>
      <c r="AS72" s="19"/>
      <c r="AT72" s="19"/>
    </row>
    <row r="73" spans="1:46" x14ac:dyDescent="0.2">
      <c r="A73" s="121">
        <v>208.59934997558594</v>
      </c>
      <c r="B73" s="143">
        <v>0.43825242718446605</v>
      </c>
      <c r="C73" s="143">
        <f t="shared" si="1"/>
        <v>0.56174757281553389</v>
      </c>
      <c r="D73" s="16">
        <f t="shared" si="2"/>
        <v>2.6860841423948179E-2</v>
      </c>
      <c r="E73" s="3">
        <f>(2*Table!$AC$16*0.147)/A73</f>
        <v>0.43938336948763634</v>
      </c>
      <c r="F73" s="3">
        <f t="shared" si="3"/>
        <v>0.87876673897527269</v>
      </c>
      <c r="G73" s="121">
        <f>IF((('Raw Data'!C73)/('Raw Data'!C$136)*100)&lt;0,0,('Raw Data'!C73)/('Raw Data'!C$136)*100)</f>
        <v>43.810652442829969</v>
      </c>
      <c r="H73" s="121">
        <f t="shared" si="4"/>
        <v>2.6867817993116248</v>
      </c>
      <c r="I73" s="118">
        <f t="shared" si="5"/>
        <v>3.9629175513503367E-2</v>
      </c>
      <c r="J73" s="3">
        <f>'Raw Data'!F73/I73</f>
        <v>0.67798074638119066</v>
      </c>
      <c r="K73" s="27">
        <f t="shared" si="6"/>
        <v>0.40605818512393388</v>
      </c>
      <c r="L73" s="121">
        <f>A73*Table!$AC$9/$AC$16</f>
        <v>46.838368106645177</v>
      </c>
      <c r="M73" s="121">
        <f>A73*Table!$AD$9/$AC$16</f>
        <v>16.05886906513549</v>
      </c>
      <c r="N73" s="121">
        <f>ABS(A73*Table!$AE$9/$AC$16)</f>
        <v>20.281608326080782</v>
      </c>
      <c r="O73" s="121">
        <f>($L73*(Table!$AC$10/Table!$AC$9)/(Table!$AC$12-Table!$AC$14))</f>
        <v>100.46840005715397</v>
      </c>
      <c r="P73" s="121">
        <f>ROUND(($N73*(Table!$AE$10/Table!$AE$9)/(Table!$AC$12-Table!$AC$13)),2)</f>
        <v>166.52</v>
      </c>
      <c r="Q73" s="121">
        <f>'Raw Data'!C73</f>
        <v>0.67669882118572799</v>
      </c>
      <c r="R73" s="121">
        <f>'Raw Data'!C73/'Raw Data'!I$30*100</f>
        <v>6.1343935611067995</v>
      </c>
      <c r="S73" s="156">
        <f t="shared" si="7"/>
        <v>0.31800766283524867</v>
      </c>
      <c r="T73" s="156">
        <f t="shared" si="8"/>
        <v>8.4966029203967453E-2</v>
      </c>
      <c r="U73" s="29">
        <f t="shared" si="9"/>
        <v>2.9407539198107555E-2</v>
      </c>
      <c r="V73" s="29">
        <f t="shared" si="10"/>
        <v>1.0259744162069748</v>
      </c>
      <c r="W73" s="29">
        <f t="shared" si="11"/>
        <v>7.6742303001588168E-3</v>
      </c>
      <c r="X73" s="93">
        <f t="shared" si="12"/>
        <v>0.28775634624866364</v>
      </c>
      <c r="AS73" s="19"/>
      <c r="AT73" s="19"/>
    </row>
    <row r="74" spans="1:46" x14ac:dyDescent="0.2">
      <c r="A74" s="121">
        <v>228.20649719238281</v>
      </c>
      <c r="B74" s="143">
        <v>0.46304207119741103</v>
      </c>
      <c r="C74" s="143">
        <f t="shared" si="1"/>
        <v>0.53695792880258897</v>
      </c>
      <c r="D74" s="16">
        <f t="shared" si="2"/>
        <v>2.4789644012944978E-2</v>
      </c>
      <c r="E74" s="3">
        <f>(2*Table!$AC$16*0.147)/A74</f>
        <v>0.40163223393213254</v>
      </c>
      <c r="F74" s="3">
        <f t="shared" si="3"/>
        <v>0.80326446786426509</v>
      </c>
      <c r="G74" s="121">
        <f>IF((('Raw Data'!C74)/('Raw Data'!C$136)*100)&lt;0,0,('Raw Data'!C74)/('Raw Data'!C$136)*100)</f>
        <v>46.290260705809125</v>
      </c>
      <c r="H74" s="121">
        <f t="shared" si="4"/>
        <v>2.4796082629791556</v>
      </c>
      <c r="I74" s="118">
        <f t="shared" si="5"/>
        <v>3.9015054143088312E-2</v>
      </c>
      <c r="J74" s="3">
        <f>'Raw Data'!F74/I74</f>
        <v>0.63555166523290185</v>
      </c>
      <c r="K74" s="27">
        <f t="shared" si="6"/>
        <v>0.44422533480700882</v>
      </c>
      <c r="L74" s="121">
        <f>A74*Table!$AC$9/$AC$16</f>
        <v>51.240907131666106</v>
      </c>
      <c r="M74" s="121">
        <f>A74*Table!$AD$9/$AC$16</f>
        <v>17.568311016571236</v>
      </c>
      <c r="N74" s="121">
        <f>ABS(A74*Table!$AE$9/$AC$16)</f>
        <v>22.187963644491031</v>
      </c>
      <c r="O74" s="121">
        <f>($L74*(Table!$AC$10/Table!$AC$9)/(Table!$AC$12-Table!$AC$14))</f>
        <v>109.91185570927952</v>
      </c>
      <c r="P74" s="121">
        <f>ROUND(($N74*(Table!$AE$10/Table!$AE$9)/(Table!$AC$12-Table!$AC$13)),2)</f>
        <v>182.17</v>
      </c>
      <c r="Q74" s="121">
        <f>'Raw Data'!C74</f>
        <v>0.714998821185728</v>
      </c>
      <c r="R74" s="121">
        <f>'Raw Data'!C74/'Raw Data'!I$30*100</f>
        <v>6.4815897819879149</v>
      </c>
      <c r="S74" s="156">
        <f t="shared" si="7"/>
        <v>0.29348659003831423</v>
      </c>
      <c r="T74" s="156">
        <f t="shared" si="8"/>
        <v>6.6148278783731862E-2</v>
      </c>
      <c r="U74" s="29">
        <f t="shared" si="9"/>
        <v>2.8402301694871554E-2</v>
      </c>
      <c r="V74" s="29">
        <f t="shared" si="10"/>
        <v>0.96737247374851698</v>
      </c>
      <c r="W74" s="29">
        <f t="shared" si="11"/>
        <v>5.9177334157720059E-3</v>
      </c>
      <c r="X74" s="93">
        <f t="shared" si="12"/>
        <v>0.29367407966443565</v>
      </c>
      <c r="AS74" s="19"/>
      <c r="AT74" s="19"/>
    </row>
    <row r="75" spans="1:46" x14ac:dyDescent="0.2">
      <c r="A75" s="121">
        <v>250.36659240722656</v>
      </c>
      <c r="B75" s="143">
        <v>0.48491909385113269</v>
      </c>
      <c r="C75" s="143">
        <f t="shared" si="1"/>
        <v>0.51508090614886726</v>
      </c>
      <c r="D75" s="16">
        <f t="shared" si="2"/>
        <v>2.1877022653721656E-2</v>
      </c>
      <c r="E75" s="3">
        <f>(2*Table!$AC$16*0.147)/A75</f>
        <v>0.36608352729474669</v>
      </c>
      <c r="F75" s="3">
        <f t="shared" si="3"/>
        <v>0.73216705458949338</v>
      </c>
      <c r="G75" s="121">
        <f>IF((('Raw Data'!C75)/('Raw Data'!C$136)*100)&lt;0,0,('Raw Data'!C75)/('Raw Data'!C$136)*100)</f>
        <v>48.478531183320754</v>
      </c>
      <c r="H75" s="121">
        <f t="shared" si="4"/>
        <v>2.1882704775116295</v>
      </c>
      <c r="I75" s="118">
        <f t="shared" si="5"/>
        <v>4.0248373533531001E-2</v>
      </c>
      <c r="J75" s="3">
        <f>'Raw Data'!F75/I75</f>
        <v>0.54369165394685459</v>
      </c>
      <c r="K75" s="27">
        <f t="shared" si="6"/>
        <v>0.48736203703626402</v>
      </c>
      <c r="L75" s="121">
        <f>A75*Table!$AC$9/$AC$16</f>
        <v>56.21667861452373</v>
      </c>
      <c r="M75" s="121">
        <f>A75*Table!$AD$9/$AC$16</f>
        <v>19.274289810693851</v>
      </c>
      <c r="N75" s="121">
        <f>ABS(A75*Table!$AE$9/$AC$16)</f>
        <v>24.342535898281469</v>
      </c>
      <c r="O75" s="121">
        <f>($L75*(Table!$AC$10/Table!$AC$9)/(Table!$AC$12-Table!$AC$14))</f>
        <v>120.58489621304962</v>
      </c>
      <c r="P75" s="121">
        <f>ROUND(($N75*(Table!$AE$10/Table!$AE$9)/(Table!$AC$12-Table!$AC$13)),2)</f>
        <v>199.86</v>
      </c>
      <c r="Q75" s="121">
        <f>'Raw Data'!C75</f>
        <v>0.74879882118572794</v>
      </c>
      <c r="R75" s="121">
        <f>'Raw Data'!C75/'Raw Data'!I$30*100</f>
        <v>6.7879927132093689</v>
      </c>
      <c r="S75" s="156">
        <f t="shared" si="7"/>
        <v>0.25900383141762429</v>
      </c>
      <c r="T75" s="156">
        <f t="shared" si="8"/>
        <v>5.2351144746315303E-2</v>
      </c>
      <c r="U75" s="29">
        <f t="shared" si="9"/>
        <v>2.7112214325178637E-2</v>
      </c>
      <c r="V75" s="29">
        <f t="shared" si="10"/>
        <v>0.89424164683734986</v>
      </c>
      <c r="W75" s="29">
        <f t="shared" si="11"/>
        <v>4.3388693819270538E-3</v>
      </c>
      <c r="X75" s="93">
        <f t="shared" si="12"/>
        <v>0.29801294904636272</v>
      </c>
      <c r="AS75" s="19"/>
      <c r="AT75" s="19"/>
    </row>
    <row r="76" spans="1:46" x14ac:dyDescent="0.2">
      <c r="A76" s="121">
        <v>272.64837646484375</v>
      </c>
      <c r="B76" s="143">
        <v>0.50466019417475727</v>
      </c>
      <c r="C76" s="143">
        <f t="shared" si="1"/>
        <v>0.49533980582524273</v>
      </c>
      <c r="D76" s="16">
        <f t="shared" si="2"/>
        <v>1.9741100323624583E-2</v>
      </c>
      <c r="E76" s="3">
        <f>(2*Table!$AC$16*0.147)/A76</f>
        <v>0.33616589415863246</v>
      </c>
      <c r="F76" s="3">
        <f t="shared" si="3"/>
        <v>0.67233178831726492</v>
      </c>
      <c r="G76" s="121">
        <f>IF((('Raw Data'!C76)/('Raw Data'!C$136)*100)&lt;0,0,('Raw Data'!C76)/('Raw Data'!C$136)*100)</f>
        <v>50.45315395148954</v>
      </c>
      <c r="H76" s="121">
        <f t="shared" si="4"/>
        <v>1.9746227681687856</v>
      </c>
      <c r="I76" s="118">
        <f t="shared" si="5"/>
        <v>3.7026537496176903E-2</v>
      </c>
      <c r="J76" s="3">
        <f>'Raw Data'!F76/I76</f>
        <v>0.53329933115476102</v>
      </c>
      <c r="K76" s="27">
        <f t="shared" si="6"/>
        <v>0.53073561800292746</v>
      </c>
      <c r="L76" s="121">
        <f>A76*Table!$AC$9/$AC$16</f>
        <v>61.219773800992904</v>
      </c>
      <c r="M76" s="121">
        <f>A76*Table!$AD$9/$AC$16</f>
        <v>20.989636731768996</v>
      </c>
      <c r="N76" s="121">
        <f>ABS(A76*Table!$AE$9/$AC$16)</f>
        <v>26.50893966279844</v>
      </c>
      <c r="O76" s="121">
        <f>($L76*(Table!$AC$10/Table!$AC$9)/(Table!$AC$12-Table!$AC$14))</f>
        <v>131.31654611967593</v>
      </c>
      <c r="P76" s="121">
        <f>ROUND(($N76*(Table!$AE$10/Table!$AE$9)/(Table!$AC$12-Table!$AC$13)),2)</f>
        <v>217.64</v>
      </c>
      <c r="Q76" s="121">
        <f>'Raw Data'!C76</f>
        <v>0.77929882118572791</v>
      </c>
      <c r="R76" s="121">
        <f>'Raw Data'!C76/'Raw Data'!I$30*100</f>
        <v>7.064480565347071</v>
      </c>
      <c r="S76" s="156">
        <f t="shared" si="7"/>
        <v>0.23371647509578539</v>
      </c>
      <c r="T76" s="156">
        <f t="shared" si="8"/>
        <v>4.1852845508387193E-2</v>
      </c>
      <c r="U76" s="29">
        <f t="shared" si="9"/>
        <v>2.5910590985154795E-2</v>
      </c>
      <c r="V76" s="29">
        <f t="shared" si="10"/>
        <v>0.82825304597428562</v>
      </c>
      <c r="W76" s="29">
        <f t="shared" si="11"/>
        <v>3.3014645651934121E-3</v>
      </c>
      <c r="X76" s="93">
        <f t="shared" si="12"/>
        <v>0.30131441361155614</v>
      </c>
      <c r="AS76" s="19"/>
      <c r="AT76" s="19"/>
    </row>
    <row r="77" spans="1:46" x14ac:dyDescent="0.2">
      <c r="A77" s="121">
        <v>299.10467529296875</v>
      </c>
      <c r="B77" s="143">
        <v>0.5234304207119741</v>
      </c>
      <c r="C77" s="143">
        <f t="shared" si="1"/>
        <v>0.4765695792880259</v>
      </c>
      <c r="D77" s="16">
        <f t="shared" si="2"/>
        <v>1.8770226537216828E-2</v>
      </c>
      <c r="E77" s="3">
        <f>(2*Table!$AC$16*0.147)/A77</f>
        <v>0.30643146977033642</v>
      </c>
      <c r="F77" s="3">
        <f t="shared" si="3"/>
        <v>0.61286293954067284</v>
      </c>
      <c r="G77" s="121">
        <f>IF((('Raw Data'!C77)/('Raw Data'!C$136)*100)&lt;0,0,('Raw Data'!C77)/('Raw Data'!C$136)*100)</f>
        <v>52.330664124502476</v>
      </c>
      <c r="H77" s="121">
        <f t="shared" si="4"/>
        <v>1.8775101730129364</v>
      </c>
      <c r="I77" s="118">
        <f t="shared" si="5"/>
        <v>4.02202855799218E-2</v>
      </c>
      <c r="J77" s="3">
        <f>'Raw Data'!F77/I77</f>
        <v>0.46680677323440134</v>
      </c>
      <c r="K77" s="27">
        <f t="shared" si="6"/>
        <v>0.58223528321522167</v>
      </c>
      <c r="L77" s="121">
        <f>A77*Table!$AC$9/$AC$16</f>
        <v>67.160203928872761</v>
      </c>
      <c r="M77" s="121">
        <f>A77*Table!$AD$9/$AC$16</f>
        <v>23.026355632756374</v>
      </c>
      <c r="N77" s="121">
        <f>ABS(A77*Table!$AE$9/$AC$16)</f>
        <v>29.081221362873638</v>
      </c>
      <c r="O77" s="121">
        <f>($L77*(Table!$AC$10/Table!$AC$9)/(Table!$AC$12-Table!$AC$14))</f>
        <v>144.05878148621358</v>
      </c>
      <c r="P77" s="121">
        <f>ROUND(($N77*(Table!$AE$10/Table!$AE$9)/(Table!$AC$12-Table!$AC$13)),2)</f>
        <v>238.76</v>
      </c>
      <c r="Q77" s="121">
        <f>'Raw Data'!C77</f>
        <v>0.80829882118572793</v>
      </c>
      <c r="R77" s="121">
        <f>'Raw Data'!C77/'Raw Data'!I$30*100</f>
        <v>7.3273706542648878</v>
      </c>
      <c r="S77" s="156">
        <f t="shared" si="7"/>
        <v>0.22222222222222229</v>
      </c>
      <c r="T77" s="156">
        <f t="shared" si="8"/>
        <v>3.3558606710505368E-2</v>
      </c>
      <c r="U77" s="29">
        <f t="shared" si="9"/>
        <v>2.4497680108436396E-2</v>
      </c>
      <c r="V77" s="29">
        <f t="shared" si="10"/>
        <v>0.75332642518478576</v>
      </c>
      <c r="W77" s="29">
        <f t="shared" si="11"/>
        <v>2.6083401573780175E-3</v>
      </c>
      <c r="X77" s="93">
        <f t="shared" si="12"/>
        <v>0.30392275376893418</v>
      </c>
      <c r="AS77" s="19"/>
      <c r="AT77" s="19"/>
    </row>
    <row r="78" spans="1:46" x14ac:dyDescent="0.2">
      <c r="A78" s="121">
        <v>326.82269287109375</v>
      </c>
      <c r="B78" s="143">
        <v>0.54077669902912628</v>
      </c>
      <c r="C78" s="143">
        <f t="shared" si="1"/>
        <v>0.45922330097087372</v>
      </c>
      <c r="D78" s="16">
        <f t="shared" si="2"/>
        <v>1.7346278317152186E-2</v>
      </c>
      <c r="E78" s="3">
        <f>(2*Table!$AC$16*0.147)/A78</f>
        <v>0.28044284336569758</v>
      </c>
      <c r="F78" s="3">
        <f t="shared" si="3"/>
        <v>0.56088568673139516</v>
      </c>
      <c r="G78" s="121">
        <f>IF((('Raw Data'!C78)/('Raw Data'!C$136)*100)&lt;0,0,('Raw Data'!C78)/('Raw Data'!C$136)*100)</f>
        <v>54.065742491286848</v>
      </c>
      <c r="H78" s="121">
        <f t="shared" si="4"/>
        <v>1.7350783667843714</v>
      </c>
      <c r="I78" s="118">
        <f t="shared" si="5"/>
        <v>3.8489002537829275E-2</v>
      </c>
      <c r="J78" s="3">
        <f>'Raw Data'!F78/I78</f>
        <v>0.45079847550713548</v>
      </c>
      <c r="K78" s="27">
        <f t="shared" si="6"/>
        <v>0.63619100222548719</v>
      </c>
      <c r="L78" s="121">
        <f>A78*Table!$AC$9/$AC$16</f>
        <v>73.383937179540254</v>
      </c>
      <c r="M78" s="121">
        <f>A78*Table!$AD$9/$AC$16</f>
        <v>25.16020703298523</v>
      </c>
      <c r="N78" s="121">
        <f>ABS(A78*Table!$AE$9/$AC$16)</f>
        <v>31.776176913601617</v>
      </c>
      <c r="O78" s="121">
        <f>($L78*(Table!$AC$10/Table!$AC$9)/(Table!$AC$12-Table!$AC$14))</f>
        <v>157.40870265881651</v>
      </c>
      <c r="P78" s="121">
        <f>ROUND(($N78*(Table!$AE$10/Table!$AE$9)/(Table!$AC$12-Table!$AC$13)),2)</f>
        <v>260.89</v>
      </c>
      <c r="Q78" s="121">
        <f>'Raw Data'!C78</f>
        <v>0.83509882118572798</v>
      </c>
      <c r="R78" s="121">
        <f>'Raw Data'!C78/'Raw Data'!I$30*100</f>
        <v>7.5703173571268696</v>
      </c>
      <c r="S78" s="156">
        <f t="shared" si="7"/>
        <v>0.20536398467433056</v>
      </c>
      <c r="T78" s="156">
        <f t="shared" si="8"/>
        <v>2.7138602306994275E-2</v>
      </c>
      <c r="U78" s="29">
        <f t="shared" si="9"/>
        <v>2.3163377336569386E-2</v>
      </c>
      <c r="V78" s="29">
        <f t="shared" si="10"/>
        <v>0.68525604935204742</v>
      </c>
      <c r="W78" s="29">
        <f t="shared" si="11"/>
        <v>2.0189381695277851E-3</v>
      </c>
      <c r="X78" s="93">
        <f t="shared" si="12"/>
        <v>0.30594169193846199</v>
      </c>
      <c r="AS78" s="19"/>
      <c r="AT78" s="19"/>
    </row>
    <row r="79" spans="1:46" x14ac:dyDescent="0.2">
      <c r="A79" s="121">
        <v>357.80282592773437</v>
      </c>
      <c r="B79" s="143">
        <v>0.55728155339805829</v>
      </c>
      <c r="C79" s="143">
        <f t="shared" si="1"/>
        <v>0.44271844660194171</v>
      </c>
      <c r="D79" s="16">
        <f t="shared" si="2"/>
        <v>1.6504854368932009E-2</v>
      </c>
      <c r="E79" s="3">
        <f>(2*Table!$AC$16*0.147)/A79</f>
        <v>0.25616087583309155</v>
      </c>
      <c r="F79" s="3">
        <f t="shared" si="3"/>
        <v>0.5123217516661831</v>
      </c>
      <c r="G79" s="121">
        <f>IF((('Raw Data'!C79)/('Raw Data'!C$136)*100)&lt;0,0,('Raw Data'!C79)/('Raw Data'!C$136)*100)</f>
        <v>55.716656608936162</v>
      </c>
      <c r="H79" s="121">
        <f t="shared" si="4"/>
        <v>1.6509141176493145</v>
      </c>
      <c r="I79" s="118">
        <f t="shared" si="5"/>
        <v>3.9331562242430174E-2</v>
      </c>
      <c r="J79" s="3">
        <f>'Raw Data'!F79/I79</f>
        <v>0.41974282828469489</v>
      </c>
      <c r="K79" s="27">
        <f t="shared" si="6"/>
        <v>0.69649673474742357</v>
      </c>
      <c r="L79" s="121">
        <f>A79*Table!$AC$9/$AC$16</f>
        <v>80.340137552502156</v>
      </c>
      <c r="M79" s="121">
        <f>A79*Table!$AD$9/$AC$16</f>
        <v>27.545190018000739</v>
      </c>
      <c r="N79" s="121">
        <f>ABS(A79*Table!$AE$9/$AC$16)</f>
        <v>34.788300032001509</v>
      </c>
      <c r="O79" s="121">
        <f>($L79*(Table!$AC$10/Table!$AC$9)/(Table!$AC$12-Table!$AC$14))</f>
        <v>172.32976737988454</v>
      </c>
      <c r="P79" s="121">
        <f>ROUND(($N79*(Table!$AE$10/Table!$AE$9)/(Table!$AC$12-Table!$AC$13)),2)</f>
        <v>285.62</v>
      </c>
      <c r="Q79" s="121">
        <f>'Raw Data'!C79</f>
        <v>0.86059882118572795</v>
      </c>
      <c r="R79" s="121">
        <f>'Raw Data'!C79/'Raw Data'!I$30*100</f>
        <v>7.8014793318649494</v>
      </c>
      <c r="S79" s="156">
        <f t="shared" si="7"/>
        <v>0.19540229885057445</v>
      </c>
      <c r="T79" s="156">
        <f t="shared" si="8"/>
        <v>2.204203706719321E-2</v>
      </c>
      <c r="U79" s="29">
        <f t="shared" si="9"/>
        <v>2.1803850519170071E-2</v>
      </c>
      <c r="V79" s="29">
        <f t="shared" si="10"/>
        <v>0.61863221232460031</v>
      </c>
      <c r="W79" s="29">
        <f t="shared" si="11"/>
        <v>1.602748136822988E-3</v>
      </c>
      <c r="X79" s="93">
        <f t="shared" si="12"/>
        <v>0.30754444007528497</v>
      </c>
      <c r="AS79" s="19"/>
      <c r="AT79" s="19"/>
    </row>
    <row r="80" spans="1:46" x14ac:dyDescent="0.2">
      <c r="A80" s="121">
        <v>391.48748779296875</v>
      </c>
      <c r="B80" s="143">
        <v>0.57326860841423954</v>
      </c>
      <c r="C80" s="143">
        <f t="shared" si="1"/>
        <v>0.42673139158576046</v>
      </c>
      <c r="D80" s="16">
        <f t="shared" si="2"/>
        <v>1.5987055016181251E-2</v>
      </c>
      <c r="E80" s="3">
        <f>(2*Table!$AC$16*0.147)/A80</f>
        <v>0.23412008843989879</v>
      </c>
      <c r="F80" s="3">
        <f t="shared" si="3"/>
        <v>0.46824017687979758</v>
      </c>
      <c r="G80" s="121">
        <f>IF((('Raw Data'!C80)/('Raw Data'!C$136)*100)&lt;0,0,('Raw Data'!C80)/('Raw Data'!C$136)*100)</f>
        <v>57.315777342502358</v>
      </c>
      <c r="H80" s="121">
        <f t="shared" si="4"/>
        <v>1.5991207335661954</v>
      </c>
      <c r="I80" s="118">
        <f t="shared" si="5"/>
        <v>3.9074119964070952E-2</v>
      </c>
      <c r="J80" s="3">
        <f>'Raw Data'!F80/I80</f>
        <v>0.40925316681133256</v>
      </c>
      <c r="K80" s="27">
        <f t="shared" si="6"/>
        <v>0.76206708606976137</v>
      </c>
      <c r="L80" s="121">
        <f>A80*Table!$AC$9/$AC$16</f>
        <v>87.903605953416999</v>
      </c>
      <c r="M80" s="121">
        <f>A80*Table!$AD$9/$AC$16</f>
        <v>30.138379184028683</v>
      </c>
      <c r="N80" s="121">
        <f>ABS(A80*Table!$AE$9/$AC$16)</f>
        <v>38.063377919958072</v>
      </c>
      <c r="O80" s="121">
        <f>($L80*(Table!$AC$10/Table!$AC$9)/(Table!$AC$12-Table!$AC$14))</f>
        <v>188.55342332350281</v>
      </c>
      <c r="P80" s="121">
        <f>ROUND(($N80*(Table!$AE$10/Table!$AE$9)/(Table!$AC$12-Table!$AC$13)),2)</f>
        <v>312.51</v>
      </c>
      <c r="Q80" s="121">
        <f>'Raw Data'!C80</f>
        <v>0.885298821185728</v>
      </c>
      <c r="R80" s="121">
        <f>'Raw Data'!C80/'Raw Data'!I$30*100</f>
        <v>8.0253891662190888</v>
      </c>
      <c r="S80" s="156">
        <f t="shared" si="7"/>
        <v>0.18927203065134132</v>
      </c>
      <c r="T80" s="156">
        <f t="shared" si="8"/>
        <v>1.7918346011432496E-2</v>
      </c>
      <c r="U80" s="29">
        <f t="shared" si="9"/>
        <v>2.0499733494581503E-2</v>
      </c>
      <c r="V80" s="29">
        <f t="shared" si="10"/>
        <v>0.55736427344688377</v>
      </c>
      <c r="W80" s="29">
        <f t="shared" si="11"/>
        <v>1.2968024238834495E-3</v>
      </c>
      <c r="X80" s="93">
        <f t="shared" si="12"/>
        <v>0.30884124249916844</v>
      </c>
      <c r="AS80" s="19"/>
      <c r="AT80" s="19"/>
    </row>
    <row r="81" spans="1:46" x14ac:dyDescent="0.2">
      <c r="A81" s="121">
        <v>428.63864135742187</v>
      </c>
      <c r="B81" s="143">
        <v>0.58873786407766993</v>
      </c>
      <c r="C81" s="143">
        <f t="shared" si="1"/>
        <v>0.41126213592233007</v>
      </c>
      <c r="D81" s="16">
        <f t="shared" si="2"/>
        <v>1.5469255663430381E-2</v>
      </c>
      <c r="E81" s="3">
        <f>(2*Table!$AC$16*0.147)/A81</f>
        <v>0.21382833095716333</v>
      </c>
      <c r="F81" s="3">
        <f t="shared" si="3"/>
        <v>0.42765666191432666</v>
      </c>
      <c r="G81" s="121">
        <f>IF((('Raw Data'!C81)/('Raw Data'!C$136)*100)&lt;0,0,('Raw Data'!C81)/('Raw Data'!C$136)*100)</f>
        <v>58.863104691985434</v>
      </c>
      <c r="H81" s="121">
        <f t="shared" si="4"/>
        <v>1.5473273494830764</v>
      </c>
      <c r="I81" s="118">
        <f t="shared" si="5"/>
        <v>3.9373433428574356E-2</v>
      </c>
      <c r="J81" s="3">
        <f>'Raw Data'!F81/I81</f>
        <v>0.39298766064941071</v>
      </c>
      <c r="K81" s="27">
        <f t="shared" si="6"/>
        <v>0.83438528837196413</v>
      </c>
      <c r="L81" s="121">
        <f>A81*Table!$AC$9/$AC$16</f>
        <v>96.245431594014704</v>
      </c>
      <c r="M81" s="121">
        <f>A81*Table!$AD$9/$AC$16</f>
        <v>32.998433689376469</v>
      </c>
      <c r="N81" s="121">
        <f>ABS(A81*Table!$AE$9/$AC$16)</f>
        <v>41.675494379307082</v>
      </c>
      <c r="O81" s="121">
        <f>($L81*(Table!$AC$10/Table!$AC$9)/(Table!$AC$12-Table!$AC$14))</f>
        <v>206.44665721581876</v>
      </c>
      <c r="P81" s="121">
        <f>ROUND(($N81*(Table!$AE$10/Table!$AE$9)/(Table!$AC$12-Table!$AC$13)),2)</f>
        <v>342.16</v>
      </c>
      <c r="Q81" s="121">
        <f>'Raw Data'!C81</f>
        <v>0.90919882118572792</v>
      </c>
      <c r="R81" s="121">
        <f>'Raw Data'!C81/'Raw Data'!I$30*100</f>
        <v>8.2420468601892871</v>
      </c>
      <c r="S81" s="156">
        <f t="shared" si="7"/>
        <v>0.18314176245210689</v>
      </c>
      <c r="T81" s="156">
        <f t="shared" si="8"/>
        <v>1.4589910080732404E-2</v>
      </c>
      <c r="U81" s="29">
        <f t="shared" si="9"/>
        <v>1.9228427082747836E-2</v>
      </c>
      <c r="V81" s="29">
        <f t="shared" si="10"/>
        <v>0.50017478405549565</v>
      </c>
      <c r="W81" s="29">
        <f t="shared" si="11"/>
        <v>1.0467136660596104E-3</v>
      </c>
      <c r="X81" s="93">
        <f t="shared" si="12"/>
        <v>0.30988795616522807</v>
      </c>
      <c r="AS81" s="19"/>
      <c r="AT81" s="19"/>
    </row>
    <row r="82" spans="1:46" x14ac:dyDescent="0.2">
      <c r="A82" s="121">
        <v>467.975830078125</v>
      </c>
      <c r="B82" s="143">
        <v>0.60375404530744337</v>
      </c>
      <c r="C82" s="143">
        <f t="shared" si="1"/>
        <v>0.39624595469255663</v>
      </c>
      <c r="D82" s="16">
        <f t="shared" si="2"/>
        <v>1.501618122977344E-2</v>
      </c>
      <c r="E82" s="3">
        <f>(2*Table!$AC$16*0.147)/A82</f>
        <v>0.19585431420657456</v>
      </c>
      <c r="F82" s="3">
        <f t="shared" si="3"/>
        <v>0.39170862841314913</v>
      </c>
      <c r="G82" s="121">
        <f>IF((('Raw Data'!C82)/('Raw Data'!C$136)*100)&lt;0,0,('Raw Data'!C82)/('Raw Data'!C$136)*100)</f>
        <v>60.365112830395788</v>
      </c>
      <c r="H82" s="121">
        <f t="shared" si="4"/>
        <v>1.5020081384103534</v>
      </c>
      <c r="I82" s="118">
        <f t="shared" si="5"/>
        <v>3.8132103602392942E-2</v>
      </c>
      <c r="J82" s="3">
        <f>'Raw Data'!F82/I82</f>
        <v>0.39389595551085516</v>
      </c>
      <c r="K82" s="27">
        <f t="shared" si="6"/>
        <v>0.91095881298589898</v>
      </c>
      <c r="L82" s="121">
        <f>A82*Table!$AC$9/$AC$16</f>
        <v>105.07810401507693</v>
      </c>
      <c r="M82" s="121">
        <f>A82*Table!$AD$9/$AC$16</f>
        <v>36.026778519454943</v>
      </c>
      <c r="N82" s="121">
        <f>ABS(A82*Table!$AE$9/$AC$16)</f>
        <v>45.500153729280122</v>
      </c>
      <c r="O82" s="121">
        <f>($L82*(Table!$AC$10/Table!$AC$9)/(Table!$AC$12-Table!$AC$14))</f>
        <v>225.39275850509856</v>
      </c>
      <c r="P82" s="121">
        <f>ROUND(($N82*(Table!$AE$10/Table!$AE$9)/(Table!$AC$12-Table!$AC$13)),2)</f>
        <v>373.56</v>
      </c>
      <c r="Q82" s="121">
        <f>'Raw Data'!C82</f>
        <v>0.93239882118572792</v>
      </c>
      <c r="R82" s="121">
        <f>'Raw Data'!C82/'Raw Data'!I$30*100</f>
        <v>8.4523589313235412</v>
      </c>
      <c r="S82" s="156">
        <f t="shared" si="7"/>
        <v>0.17777777777777756</v>
      </c>
      <c r="T82" s="156">
        <f t="shared" si="8"/>
        <v>1.1879306059096262E-2</v>
      </c>
      <c r="U82" s="29">
        <f t="shared" si="9"/>
        <v>1.8061528797144254E-2</v>
      </c>
      <c r="V82" s="29">
        <f t="shared" si="10"/>
        <v>0.44992981032939272</v>
      </c>
      <c r="W82" s="29">
        <f t="shared" si="11"/>
        <v>8.5242027540727977E-4</v>
      </c>
      <c r="X82" s="93">
        <f t="shared" si="12"/>
        <v>0.31074037644063535</v>
      </c>
      <c r="AS82" s="19"/>
      <c r="AT82" s="19"/>
    </row>
    <row r="83" spans="1:46" x14ac:dyDescent="0.2">
      <c r="A83" s="121">
        <v>512.58026123046875</v>
      </c>
      <c r="B83" s="143">
        <v>0.61805825242718448</v>
      </c>
      <c r="C83" s="143">
        <f t="shared" si="1"/>
        <v>0.38194174757281552</v>
      </c>
      <c r="D83" s="16">
        <f t="shared" si="2"/>
        <v>1.4304207119741119E-2</v>
      </c>
      <c r="E83" s="3">
        <f>(2*Table!$AC$16*0.147)/A83</f>
        <v>0.17881118762783035</v>
      </c>
      <c r="F83" s="3">
        <f t="shared" si="3"/>
        <v>0.35762237525566071</v>
      </c>
      <c r="G83" s="121">
        <f>IF((('Raw Data'!C83)/('Raw Data'!C$136)*100)&lt;0,0,('Raw Data'!C83)/('Raw Data'!C$136)*100)</f>
        <v>61.795905065691848</v>
      </c>
      <c r="H83" s="121">
        <f t="shared" si="4"/>
        <v>1.4307922352960603</v>
      </c>
      <c r="I83" s="118">
        <f t="shared" si="5"/>
        <v>3.9538454780721044E-2</v>
      </c>
      <c r="J83" s="3">
        <f>'Raw Data'!F83/I83</f>
        <v>0.3618735843955434</v>
      </c>
      <c r="K83" s="27">
        <f t="shared" si="6"/>
        <v>0.99778551865073428</v>
      </c>
      <c r="L83" s="121">
        <f>A83*Table!$AC$9/$AC$16</f>
        <v>115.09346967055717</v>
      </c>
      <c r="M83" s="121">
        <f>A83*Table!$AD$9/$AC$16</f>
        <v>39.460618172762459</v>
      </c>
      <c r="N83" s="121">
        <f>ABS(A83*Table!$AE$9/$AC$16)</f>
        <v>49.836934272198164</v>
      </c>
      <c r="O83" s="121">
        <f>($L83*(Table!$AC$10/Table!$AC$9)/(Table!$AC$12-Table!$AC$14))</f>
        <v>246.87573931908446</v>
      </c>
      <c r="P83" s="121">
        <f>ROUND(($N83*(Table!$AE$10/Table!$AE$9)/(Table!$AC$12-Table!$AC$13)),2)</f>
        <v>409.17</v>
      </c>
      <c r="Q83" s="121">
        <f>'Raw Data'!C83</f>
        <v>0.95449882118572782</v>
      </c>
      <c r="R83" s="121">
        <f>'Raw Data'!C83/'Raw Data'!I$30*100</f>
        <v>8.6526993094298756</v>
      </c>
      <c r="S83" s="156">
        <f t="shared" si="7"/>
        <v>0.1693486590038317</v>
      </c>
      <c r="T83" s="156">
        <f t="shared" si="8"/>
        <v>9.7270523864761982E-3</v>
      </c>
      <c r="U83" s="29">
        <f t="shared" si="9"/>
        <v>1.6880672089593804E-2</v>
      </c>
      <c r="V83" s="29">
        <f t="shared" si="10"/>
        <v>0.40131827364740241</v>
      </c>
      <c r="W83" s="29">
        <f t="shared" si="11"/>
        <v>6.7683241584419733E-4</v>
      </c>
      <c r="X83" s="93">
        <f t="shared" si="12"/>
        <v>0.31141720885647955</v>
      </c>
      <c r="AS83" s="19"/>
      <c r="AT83" s="19"/>
    </row>
    <row r="84" spans="1:46" x14ac:dyDescent="0.2">
      <c r="A84" s="121">
        <v>562.6224365234375</v>
      </c>
      <c r="B84" s="143">
        <v>0.63255663430420717</v>
      </c>
      <c r="C84" s="143">
        <f t="shared" si="1"/>
        <v>0.36744336569579283</v>
      </c>
      <c r="D84" s="16">
        <f t="shared" si="2"/>
        <v>1.4498381877022681E-2</v>
      </c>
      <c r="E84" s="3">
        <f>(2*Table!$AC$16*0.147)/A84</f>
        <v>0.16290691468253507</v>
      </c>
      <c r="F84" s="3">
        <f t="shared" si="3"/>
        <v>0.32581382936507014</v>
      </c>
      <c r="G84" s="121">
        <f>IF((('Raw Data'!C84)/('Raw Data'!C$136)*100)&lt;0,0,('Raw Data'!C84)/('Raw Data'!C$136)*100)</f>
        <v>63.246119820019075</v>
      </c>
      <c r="H84" s="121">
        <f t="shared" si="4"/>
        <v>1.4502147543272272</v>
      </c>
      <c r="I84" s="118">
        <f t="shared" si="5"/>
        <v>4.0455169095421017E-2</v>
      </c>
      <c r="J84" s="3">
        <f>'Raw Data'!F84/I84</f>
        <v>0.35847452544485175</v>
      </c>
      <c r="K84" s="27">
        <f t="shared" si="6"/>
        <v>1.0951973029228084</v>
      </c>
      <c r="L84" s="121">
        <f>A84*Table!$AC$9/$AC$16</f>
        <v>126.32981258103921</v>
      </c>
      <c r="M84" s="121">
        <f>A84*Table!$AD$9/$AC$16</f>
        <v>43.313078599213441</v>
      </c>
      <c r="N84" s="121">
        <f>ABS(A84*Table!$AE$9/$AC$16)</f>
        <v>54.702413475253465</v>
      </c>
      <c r="O84" s="121">
        <f>($L84*(Table!$AC$10/Table!$AC$9)/(Table!$AC$12-Table!$AC$14))</f>
        <v>270.97771896404811</v>
      </c>
      <c r="P84" s="121">
        <f>ROUND(($N84*(Table!$AE$10/Table!$AE$9)/(Table!$AC$12-Table!$AC$13)),2)</f>
        <v>449.12</v>
      </c>
      <c r="Q84" s="121">
        <f>'Raw Data'!C84</f>
        <v>0.97689882118572779</v>
      </c>
      <c r="R84" s="121">
        <f>'Raw Data'!C84/'Raw Data'!I$30*100</f>
        <v>8.8557592401801895</v>
      </c>
      <c r="S84" s="156">
        <f t="shared" si="7"/>
        <v>0.17164750957854447</v>
      </c>
      <c r="T84" s="156">
        <f t="shared" si="8"/>
        <v>7.9163842294027731E-3</v>
      </c>
      <c r="U84" s="29">
        <f t="shared" si="9"/>
        <v>1.5740145904777261E-2</v>
      </c>
      <c r="V84" s="29">
        <f t="shared" si="10"/>
        <v>0.35654528554575105</v>
      </c>
      <c r="W84" s="29">
        <f t="shared" si="11"/>
        <v>5.694119232480606E-4</v>
      </c>
      <c r="X84" s="93">
        <f t="shared" si="12"/>
        <v>0.31198662077972761</v>
      </c>
      <c r="AS84" s="19"/>
      <c r="AT84" s="19"/>
    </row>
    <row r="85" spans="1:46" x14ac:dyDescent="0.2">
      <c r="A85" s="121">
        <v>613.44879150390625</v>
      </c>
      <c r="B85" s="143">
        <v>0.64640776699029134</v>
      </c>
      <c r="C85" s="143">
        <f t="shared" si="1"/>
        <v>0.35359223300970866</v>
      </c>
      <c r="D85" s="16">
        <f t="shared" si="2"/>
        <v>1.3851132686084178E-2</v>
      </c>
      <c r="E85" s="3">
        <f>(2*Table!$AC$16*0.147)/A85</f>
        <v>0.14940951312416109</v>
      </c>
      <c r="F85" s="3">
        <f t="shared" si="3"/>
        <v>0.29881902624832218</v>
      </c>
      <c r="G85" s="121">
        <f>IF((('Raw Data'!C85)/('Raw Data'!C$136)*100)&lt;0,0,('Raw Data'!C85)/('Raw Data'!C$136)*100)</f>
        <v>64.631592844242419</v>
      </c>
      <c r="H85" s="121">
        <f t="shared" si="4"/>
        <v>1.3854730242233444</v>
      </c>
      <c r="I85" s="118">
        <f t="shared" si="5"/>
        <v>3.7561268061497177E-2</v>
      </c>
      <c r="J85" s="3">
        <f>'Raw Data'!F85/I85</f>
        <v>0.36885682931550229</v>
      </c>
      <c r="K85" s="27">
        <f t="shared" si="6"/>
        <v>1.1941355664516708</v>
      </c>
      <c r="L85" s="121">
        <f>A85*Table!$AC$9/$AC$16</f>
        <v>137.74223320638075</v>
      </c>
      <c r="M85" s="121">
        <f>A85*Table!$AD$9/$AC$16</f>
        <v>47.225908527901964</v>
      </c>
      <c r="N85" s="121">
        <f>ABS(A85*Table!$AE$9/$AC$16)</f>
        <v>59.644136565363105</v>
      </c>
      <c r="O85" s="121">
        <f>($L85*(Table!$AC$10/Table!$AC$9)/(Table!$AC$12-Table!$AC$14))</f>
        <v>295.45738568507244</v>
      </c>
      <c r="P85" s="121">
        <f>ROUND(($N85*(Table!$AE$10/Table!$AE$9)/(Table!$AC$12-Table!$AC$13)),2)</f>
        <v>489.69</v>
      </c>
      <c r="Q85" s="121">
        <f>'Raw Data'!C85</f>
        <v>0.99829882118572788</v>
      </c>
      <c r="R85" s="121">
        <f>'Raw Data'!C85/'Raw Data'!I$30*100</f>
        <v>9.0497539954505761</v>
      </c>
      <c r="S85" s="156">
        <f t="shared" si="7"/>
        <v>0.16398467432950239</v>
      </c>
      <c r="T85" s="156">
        <f t="shared" si="8"/>
        <v>6.461320272842741E-3</v>
      </c>
      <c r="U85" s="29">
        <f t="shared" si="9"/>
        <v>1.4752256619928397E-2</v>
      </c>
      <c r="V85" s="29">
        <f t="shared" si="10"/>
        <v>0.31953066918628048</v>
      </c>
      <c r="W85" s="29">
        <f t="shared" si="11"/>
        <v>4.5758288879001641E-4</v>
      </c>
      <c r="X85" s="93">
        <f t="shared" si="12"/>
        <v>0.31244420366851761</v>
      </c>
      <c r="AS85" s="19"/>
      <c r="AT85" s="19"/>
    </row>
    <row r="86" spans="1:46" x14ac:dyDescent="0.2">
      <c r="A86" s="121">
        <v>671.74920654296875</v>
      </c>
      <c r="B86" s="143">
        <v>0.66019417475728159</v>
      </c>
      <c r="C86" s="143">
        <f t="shared" si="1"/>
        <v>0.33980582524271841</v>
      </c>
      <c r="D86" s="16">
        <f t="shared" si="2"/>
        <v>1.378640776699025E-2</v>
      </c>
      <c r="E86" s="3">
        <f>(2*Table!$AC$16*0.147)/A86</f>
        <v>0.13644241686103262</v>
      </c>
      <c r="F86" s="3">
        <f t="shared" si="3"/>
        <v>0.27288483372206523</v>
      </c>
      <c r="G86" s="121">
        <f>IF((('Raw Data'!C86)/('Raw Data'!C$136)*100)&lt;0,0,('Raw Data'!C86)/('Raw Data'!C$136)*100)</f>
        <v>66.010591695455389</v>
      </c>
      <c r="H86" s="121">
        <f t="shared" si="4"/>
        <v>1.3789988512129696</v>
      </c>
      <c r="I86" s="118">
        <f t="shared" si="5"/>
        <v>3.9428846888729385E-2</v>
      </c>
      <c r="J86" s="3">
        <f>'Raw Data'!F86/I86</f>
        <v>0.3497436420356354</v>
      </c>
      <c r="K86" s="27">
        <f t="shared" si="6"/>
        <v>1.3076227883701694</v>
      </c>
      <c r="L86" s="121">
        <f>A86*Table!$AC$9/$AC$16</f>
        <v>150.8328602897796</v>
      </c>
      <c r="M86" s="121">
        <f>A86*Table!$AD$9/$AC$16</f>
        <v>51.714123527924436</v>
      </c>
      <c r="N86" s="121">
        <f>ABS(A86*Table!$AE$9/$AC$16)</f>
        <v>65.312544368209103</v>
      </c>
      <c r="O86" s="121">
        <f>($L86*(Table!$AC$10/Table!$AC$9)/(Table!$AC$12-Table!$AC$14))</f>
        <v>323.53680885838617</v>
      </c>
      <c r="P86" s="121">
        <f>ROUND(($N86*(Table!$AE$10/Table!$AE$9)/(Table!$AC$12-Table!$AC$13)),2)</f>
        <v>536.23</v>
      </c>
      <c r="Q86" s="121">
        <f>'Raw Data'!C86</f>
        <v>1.0195988211857281</v>
      </c>
      <c r="R86" s="121">
        <f>'Raw Data'!C86/'Raw Data'!I$30*100</f>
        <v>9.2428422331729756</v>
      </c>
      <c r="S86" s="156">
        <f t="shared" si="7"/>
        <v>0.16321839080459727</v>
      </c>
      <c r="T86" s="156">
        <f t="shared" si="8"/>
        <v>5.2535336386554388E-3</v>
      </c>
      <c r="U86" s="29">
        <f t="shared" si="9"/>
        <v>1.375936457110166E-2</v>
      </c>
      <c r="V86" s="29">
        <f t="shared" si="10"/>
        <v>0.28401596480047497</v>
      </c>
      <c r="W86" s="29">
        <f t="shared" si="11"/>
        <v>3.7982007225300637E-4</v>
      </c>
      <c r="X86" s="93">
        <f t="shared" si="12"/>
        <v>0.31282402374077062</v>
      </c>
      <c r="AS86" s="19"/>
      <c r="AT86" s="19"/>
    </row>
    <row r="87" spans="1:46" x14ac:dyDescent="0.2">
      <c r="A87" s="121">
        <v>733.86187744140625</v>
      </c>
      <c r="B87" s="143">
        <v>0.67339805825242716</v>
      </c>
      <c r="C87" s="143">
        <f t="shared" si="1"/>
        <v>0.32660194174757284</v>
      </c>
      <c r="D87" s="16">
        <f t="shared" si="2"/>
        <v>1.3203883495145563E-2</v>
      </c>
      <c r="E87" s="3">
        <f>(2*Table!$AC$16*0.147)/A87</f>
        <v>0.12489419069533511</v>
      </c>
      <c r="F87" s="3">
        <f t="shared" si="3"/>
        <v>0.24978838139067022</v>
      </c>
      <c r="G87" s="121">
        <f>IF((('Raw Data'!C87)/('Raw Data'!C$136)*100)&lt;0,0,('Raw Data'!C87)/('Raw Data'!C$136)*100)</f>
        <v>67.331322989574844</v>
      </c>
      <c r="H87" s="121">
        <f t="shared" si="4"/>
        <v>1.3207312941194544</v>
      </c>
      <c r="I87" s="118">
        <f t="shared" si="5"/>
        <v>3.8407165488618444E-2</v>
      </c>
      <c r="J87" s="3">
        <f>'Raw Data'!F87/I87</f>
        <v>0.34387627342893423</v>
      </c>
      <c r="K87" s="27">
        <f t="shared" si="6"/>
        <v>1.4285309236120654</v>
      </c>
      <c r="L87" s="121">
        <f>A87*Table!$AC$9/$AC$16</f>
        <v>164.77948161898516</v>
      </c>
      <c r="M87" s="121">
        <f>A87*Table!$AD$9/$AC$16</f>
        <v>56.495822269366343</v>
      </c>
      <c r="N87" s="121">
        <f>ABS(A87*Table!$AE$9/$AC$16)</f>
        <v>71.351608552236058</v>
      </c>
      <c r="O87" s="121">
        <f>($L87*(Table!$AC$10/Table!$AC$9)/(Table!$AC$12-Table!$AC$14))</f>
        <v>353.45234152506475</v>
      </c>
      <c r="P87" s="121">
        <f>ROUND(($N87*(Table!$AE$10/Table!$AE$9)/(Table!$AC$12-Table!$AC$13)),2)</f>
        <v>585.80999999999995</v>
      </c>
      <c r="Q87" s="121">
        <f>'Raw Data'!C87</f>
        <v>1.0399988211857281</v>
      </c>
      <c r="R87" s="121">
        <f>'Raw Data'!C87/'Raw Data'!I$30*100</f>
        <v>9.4277718129634387</v>
      </c>
      <c r="S87" s="156">
        <f t="shared" si="7"/>
        <v>0.15632183908045902</v>
      </c>
      <c r="T87" s="156">
        <f t="shared" si="8"/>
        <v>4.2843045221689913E-3</v>
      </c>
      <c r="U87" s="29">
        <f t="shared" si="9"/>
        <v>1.2846793249205374E-2</v>
      </c>
      <c r="V87" s="29">
        <f t="shared" si="10"/>
        <v>0.25289764913354257</v>
      </c>
      <c r="W87" s="29">
        <f t="shared" si="11"/>
        <v>3.0479942618451169E-4</v>
      </c>
      <c r="X87" s="93">
        <f t="shared" si="12"/>
        <v>0.31312882316695512</v>
      </c>
      <c r="AS87" s="19"/>
      <c r="AT87" s="19"/>
    </row>
    <row r="88" spans="1:46" x14ac:dyDescent="0.2">
      <c r="A88" s="121">
        <v>803.56866455078125</v>
      </c>
      <c r="B88" s="143">
        <v>0.68660194174757283</v>
      </c>
      <c r="C88" s="143">
        <f t="shared" si="1"/>
        <v>0.31339805825242717</v>
      </c>
      <c r="D88" s="16">
        <f t="shared" si="2"/>
        <v>1.3203883495145674E-2</v>
      </c>
      <c r="E88" s="3">
        <f>(2*Table!$AC$16*0.147)/A88</f>
        <v>0.11406005399232629</v>
      </c>
      <c r="F88" s="3">
        <f t="shared" si="3"/>
        <v>0.22812010798465257</v>
      </c>
      <c r="G88" s="121">
        <f>IF((('Raw Data'!C88)/('Raw Data'!C$136)*100)&lt;0,0,('Raw Data'!C88)/('Raw Data'!C$136)*100)</f>
        <v>68.652054283694284</v>
      </c>
      <c r="H88" s="121">
        <f t="shared" si="4"/>
        <v>1.3207312941194402</v>
      </c>
      <c r="I88" s="118">
        <f t="shared" si="5"/>
        <v>3.9408665322838043E-2</v>
      </c>
      <c r="J88" s="3">
        <f>'Raw Data'!F88/I88</f>
        <v>0.33513728092538581</v>
      </c>
      <c r="K88" s="27">
        <f t="shared" si="6"/>
        <v>1.5642217177960644</v>
      </c>
      <c r="L88" s="121">
        <f>A88*Table!$AC$9/$AC$16</f>
        <v>180.43126650969828</v>
      </c>
      <c r="M88" s="121">
        <f>A88*Table!$AD$9/$AC$16</f>
        <v>61.862148517610841</v>
      </c>
      <c r="N88" s="121">
        <f>ABS(A88*Table!$AE$9/$AC$16)</f>
        <v>78.129030217199571</v>
      </c>
      <c r="O88" s="121">
        <f>($L88*(Table!$AC$10/Table!$AC$9)/(Table!$AC$12-Table!$AC$14))</f>
        <v>387.0254536887565</v>
      </c>
      <c r="P88" s="121">
        <f>ROUND(($N88*(Table!$AE$10/Table!$AE$9)/(Table!$AC$12-Table!$AC$13)),2)</f>
        <v>641.45000000000005</v>
      </c>
      <c r="Q88" s="121">
        <f>'Raw Data'!C88</f>
        <v>1.060398821185728</v>
      </c>
      <c r="R88" s="121">
        <f>'Raw Data'!C88/'Raw Data'!I$30*100</f>
        <v>9.6127013927539018</v>
      </c>
      <c r="S88" s="156">
        <f t="shared" si="7"/>
        <v>0.15632183908046035</v>
      </c>
      <c r="T88" s="156">
        <f t="shared" si="8"/>
        <v>3.4759365065933912E-3</v>
      </c>
      <c r="U88" s="29">
        <f t="shared" si="9"/>
        <v>1.1962513991418129E-2</v>
      </c>
      <c r="V88" s="29">
        <f t="shared" si="10"/>
        <v>0.22416648056855881</v>
      </c>
      <c r="W88" s="29">
        <f t="shared" si="11"/>
        <v>2.5421244894764531E-4</v>
      </c>
      <c r="X88" s="93">
        <f t="shared" si="12"/>
        <v>0.31338303561590275</v>
      </c>
      <c r="AS88" s="19"/>
      <c r="AT88" s="19"/>
    </row>
    <row r="89" spans="1:46" x14ac:dyDescent="0.2">
      <c r="A89" s="121">
        <v>879.83209228515625</v>
      </c>
      <c r="B89" s="143">
        <v>0.69915857605178</v>
      </c>
      <c r="C89" s="143">
        <f t="shared" si="1"/>
        <v>0.30084142394822</v>
      </c>
      <c r="D89" s="16">
        <f t="shared" si="2"/>
        <v>1.255663430420717E-2</v>
      </c>
      <c r="E89" s="3">
        <f>(2*Table!$AC$16*0.147)/A89</f>
        <v>0.10417338270436485</v>
      </c>
      <c r="F89" s="3">
        <f t="shared" si="3"/>
        <v>0.20834676540872971</v>
      </c>
      <c r="G89" s="121">
        <f>IF((('Raw Data'!C89)/('Raw Data'!C$136)*100)&lt;0,0,('Raw Data'!C89)/('Raw Data'!C$136)*100)</f>
        <v>69.908043847709848</v>
      </c>
      <c r="H89" s="121">
        <f t="shared" si="4"/>
        <v>1.2559895640155645</v>
      </c>
      <c r="I89" s="118">
        <f t="shared" si="5"/>
        <v>3.9376806086349081E-2</v>
      </c>
      <c r="J89" s="3">
        <f>'Raw Data'!F89/I89</f>
        <v>0.318966845929888</v>
      </c>
      <c r="K89" s="27">
        <f t="shared" si="6"/>
        <v>1.7126756274596129</v>
      </c>
      <c r="L89" s="121">
        <f>A89*Table!$AC$9/$AC$16</f>
        <v>197.55526282951067</v>
      </c>
      <c r="M89" s="121">
        <f>A89*Table!$AD$9/$AC$16</f>
        <v>67.733232970117939</v>
      </c>
      <c r="N89" s="121">
        <f>ABS(A89*Table!$AE$9/$AC$16)</f>
        <v>85.543938130833951</v>
      </c>
      <c r="O89" s="121">
        <f>($L89*(Table!$AC$10/Table!$AC$9)/(Table!$AC$12-Table!$AC$14))</f>
        <v>423.75646252576297</v>
      </c>
      <c r="P89" s="121">
        <f>ROUND(($N89*(Table!$AE$10/Table!$AE$9)/(Table!$AC$12-Table!$AC$13)),2)</f>
        <v>702.33</v>
      </c>
      <c r="Q89" s="121">
        <f>'Raw Data'!C89</f>
        <v>1.0797988211857281</v>
      </c>
      <c r="R89" s="121">
        <f>'Raw Data'!C89/'Raw Data'!I$30*100</f>
        <v>9.7885657970644413</v>
      </c>
      <c r="S89" s="156">
        <f t="shared" si="7"/>
        <v>0.14865900383141828</v>
      </c>
      <c r="T89" s="156">
        <f t="shared" si="8"/>
        <v>2.8346869586900469E-3</v>
      </c>
      <c r="U89" s="29">
        <f t="shared" si="9"/>
        <v>1.1125493014969425E-2</v>
      </c>
      <c r="V89" s="29">
        <f t="shared" si="10"/>
        <v>0.19828906890251305</v>
      </c>
      <c r="W89" s="29">
        <f t="shared" si="11"/>
        <v>2.0165767919823769E-4</v>
      </c>
      <c r="X89" s="93">
        <f t="shared" si="12"/>
        <v>0.31358469329510097</v>
      </c>
      <c r="AS89" s="19"/>
      <c r="AT89" s="19"/>
    </row>
    <row r="90" spans="1:46" x14ac:dyDescent="0.2">
      <c r="A90" s="121">
        <v>962.81219482421875</v>
      </c>
      <c r="B90" s="143">
        <v>0.71158576051779932</v>
      </c>
      <c r="C90" s="143">
        <f t="shared" si="1"/>
        <v>0.28841423948220068</v>
      </c>
      <c r="D90" s="16">
        <f t="shared" si="2"/>
        <v>1.2427184466019314E-2</v>
      </c>
      <c r="E90" s="3">
        <f>(2*Table!$AC$16*0.147)/A90</f>
        <v>9.5195185268646468E-2</v>
      </c>
      <c r="F90" s="3">
        <f t="shared" si="3"/>
        <v>0.19039037053729294</v>
      </c>
      <c r="G90" s="121">
        <f>IF((('Raw Data'!C90)/('Raw Data'!C$136)*100)&lt;0,0,('Raw Data'!C90)/('Raw Data'!C$136)*100)</f>
        <v>71.151085065704606</v>
      </c>
      <c r="H90" s="121">
        <f t="shared" si="4"/>
        <v>1.2430412179947581</v>
      </c>
      <c r="I90" s="118">
        <f t="shared" si="5"/>
        <v>3.91417833186396E-2</v>
      </c>
      <c r="J90" s="3">
        <f>'Raw Data'!F90/I90</f>
        <v>0.31757398682517918</v>
      </c>
      <c r="K90" s="27">
        <f t="shared" si="6"/>
        <v>1.8742041741322331</v>
      </c>
      <c r="L90" s="121">
        <f>A90*Table!$AC$9/$AC$16</f>
        <v>216.18740424657003</v>
      </c>
      <c r="M90" s="121">
        <f>A90*Table!$AD$9/$AC$16</f>
        <v>74.121395741681141</v>
      </c>
      <c r="N90" s="121">
        <f>ABS(A90*Table!$AE$9/$AC$16)</f>
        <v>93.611892027872742</v>
      </c>
      <c r="O90" s="121">
        <f>($L90*(Table!$AC$10/Table!$AC$9)/(Table!$AC$12-Table!$AC$14))</f>
        <v>463.72244583133858</v>
      </c>
      <c r="P90" s="121">
        <f>ROUND(($N90*(Table!$AE$10/Table!$AE$9)/(Table!$AC$12-Table!$AC$13)),2)</f>
        <v>768.57</v>
      </c>
      <c r="Q90" s="121">
        <f>'Raw Data'!C90</f>
        <v>1.098998821185728</v>
      </c>
      <c r="R90" s="121">
        <f>'Raw Data'!C90/'Raw Data'!I$30*100</f>
        <v>9.962617166278994</v>
      </c>
      <c r="S90" s="156">
        <f t="shared" si="7"/>
        <v>0.14712643678160803</v>
      </c>
      <c r="T90" s="156">
        <f t="shared" si="8"/>
        <v>2.3047270652862828E-3</v>
      </c>
      <c r="U90" s="29">
        <f t="shared" si="9"/>
        <v>1.0347414812395345E-2</v>
      </c>
      <c r="V90" s="29">
        <f t="shared" si="10"/>
        <v>0.17540968568911569</v>
      </c>
      <c r="W90" s="29">
        <f t="shared" si="11"/>
        <v>1.6665973881989615E-4</v>
      </c>
      <c r="X90" s="93">
        <f t="shared" si="12"/>
        <v>0.31375135303392088</v>
      </c>
      <c r="AS90" s="19"/>
      <c r="AT90" s="19"/>
    </row>
    <row r="91" spans="1:46" x14ac:dyDescent="0.2">
      <c r="A91" s="121">
        <v>1049.2786865234375</v>
      </c>
      <c r="B91" s="143">
        <v>0.72310679611650486</v>
      </c>
      <c r="C91" s="143">
        <f t="shared" si="1"/>
        <v>0.27689320388349514</v>
      </c>
      <c r="D91" s="16">
        <f t="shared" si="2"/>
        <v>1.1521035598705542E-2</v>
      </c>
      <c r="E91" s="3">
        <f>(2*Table!$AC$16*0.147)/A91</f>
        <v>8.7350564194611957E-2</v>
      </c>
      <c r="F91" s="3">
        <f t="shared" si="3"/>
        <v>0.17470112838922391</v>
      </c>
      <c r="G91" s="121">
        <f>IF((('Raw Data'!C91)/('Raw Data'!C$136)*100)&lt;0,0,('Raw Data'!C91)/('Raw Data'!C$136)*100)</f>
        <v>72.303487861553933</v>
      </c>
      <c r="H91" s="121">
        <f t="shared" si="4"/>
        <v>1.1524027958493264</v>
      </c>
      <c r="I91" s="118">
        <f t="shared" si="5"/>
        <v>3.7349269002321828E-2</v>
      </c>
      <c r="J91" s="3">
        <f>'Raw Data'!F91/I91</f>
        <v>0.30854761729812924</v>
      </c>
      <c r="K91" s="27">
        <f t="shared" si="6"/>
        <v>2.0425193040572678</v>
      </c>
      <c r="L91" s="121">
        <f>A91*Table!$AC$9/$AC$16</f>
        <v>235.60237062864257</v>
      </c>
      <c r="M91" s="121">
        <f>A91*Table!$AD$9/$AC$16</f>
        <v>80.777955644106015</v>
      </c>
      <c r="N91" s="121">
        <f>ABS(A91*Table!$AE$9/$AC$16)</f>
        <v>102.01881907812057</v>
      </c>
      <c r="O91" s="121">
        <f>($L91*(Table!$AC$10/Table!$AC$9)/(Table!$AC$12-Table!$AC$14))</f>
        <v>505.36759036602876</v>
      </c>
      <c r="P91" s="121">
        <f>ROUND(($N91*(Table!$AE$10/Table!$AE$9)/(Table!$AC$12-Table!$AC$13)),2)</f>
        <v>837.59</v>
      </c>
      <c r="Q91" s="121">
        <f>'Raw Data'!C91</f>
        <v>1.116798821185728</v>
      </c>
      <c r="R91" s="121">
        <f>'Raw Data'!C91/'Raw Data'!I$30*100</f>
        <v>10.123977289821653</v>
      </c>
      <c r="S91" s="156">
        <f t="shared" si="7"/>
        <v>0.13639846743295073</v>
      </c>
      <c r="T91" s="156">
        <f t="shared" si="8"/>
        <v>1.8910482893808034E-3</v>
      </c>
      <c r="U91" s="29">
        <f t="shared" si="9"/>
        <v>9.6485113248276355E-3</v>
      </c>
      <c r="V91" s="29">
        <f t="shared" si="10"/>
        <v>0.15584586416666527</v>
      </c>
      <c r="W91" s="29">
        <f t="shared" si="11"/>
        <v>1.3009210245122947E-4</v>
      </c>
      <c r="X91" s="93">
        <f t="shared" si="12"/>
        <v>0.31388144513637212</v>
      </c>
      <c r="AS91" s="19"/>
      <c r="AT91" s="19"/>
    </row>
    <row r="92" spans="1:46" x14ac:dyDescent="0.2">
      <c r="A92" s="121">
        <v>1147.34423828125</v>
      </c>
      <c r="B92" s="143">
        <v>0.7349514563106796</v>
      </c>
      <c r="C92" s="143">
        <f t="shared" si="1"/>
        <v>0.2650485436893204</v>
      </c>
      <c r="D92" s="16">
        <f t="shared" si="2"/>
        <v>1.1844660194174739E-2</v>
      </c>
      <c r="E92" s="3">
        <f>(2*Table!$AC$16*0.147)/A92</f>
        <v>7.9884556183857439E-2</v>
      </c>
      <c r="F92" s="3">
        <f t="shared" si="3"/>
        <v>0.15976911236771488</v>
      </c>
      <c r="G92" s="121">
        <f>IF((('Raw Data'!C92)/('Raw Data'!C$136)*100)&lt;0,0,('Raw Data'!C92)/('Raw Data'!C$136)*100)</f>
        <v>73.488261522455204</v>
      </c>
      <c r="H92" s="121">
        <f t="shared" si="4"/>
        <v>1.1847736609012713</v>
      </c>
      <c r="I92" s="118">
        <f t="shared" si="5"/>
        <v>3.880288770480278E-2</v>
      </c>
      <c r="J92" s="3">
        <f>'Raw Data'!F92/I92</f>
        <v>0.30533131191538038</v>
      </c>
      <c r="K92" s="27">
        <f t="shared" si="6"/>
        <v>2.2334130914761401</v>
      </c>
      <c r="L92" s="121">
        <f>A92*Table!$AC$9/$AC$16</f>
        <v>257.62176048940324</v>
      </c>
      <c r="M92" s="121">
        <f>A92*Table!$AD$9/$AC$16</f>
        <v>88.327460739223966</v>
      </c>
      <c r="N92" s="121">
        <f>ABS(A92*Table!$AE$9/$AC$16)</f>
        <v>111.55349457574671</v>
      </c>
      <c r="O92" s="121">
        <f>($L92*(Table!$AC$10/Table!$AC$9)/(Table!$AC$12-Table!$AC$14))</f>
        <v>552.59922884899891</v>
      </c>
      <c r="P92" s="121">
        <f>ROUND(($N92*(Table!$AE$10/Table!$AE$9)/(Table!$AC$12-Table!$AC$13)),2)</f>
        <v>915.87</v>
      </c>
      <c r="Q92" s="121">
        <f>'Raw Data'!C92</f>
        <v>1.135098821185728</v>
      </c>
      <c r="R92" s="121">
        <f>'Raw Data'!C92/'Raw Data'!I$30*100</f>
        <v>10.289870001104276</v>
      </c>
      <c r="S92" s="156">
        <f t="shared" si="7"/>
        <v>0.14022988505747111</v>
      </c>
      <c r="T92" s="156">
        <f t="shared" si="8"/>
        <v>1.5353444509826897E-3</v>
      </c>
      <c r="U92" s="29">
        <f t="shared" si="9"/>
        <v>8.9684243470980907E-3</v>
      </c>
      <c r="V92" s="29">
        <f t="shared" si="10"/>
        <v>0.13772599025999693</v>
      </c>
      <c r="W92" s="29">
        <f t="shared" si="11"/>
        <v>1.118603681948862E-4</v>
      </c>
      <c r="X92" s="93">
        <f t="shared" si="12"/>
        <v>0.313993305504567</v>
      </c>
      <c r="AS92" s="19"/>
      <c r="AT92" s="19"/>
    </row>
    <row r="93" spans="1:46" x14ac:dyDescent="0.2">
      <c r="A93" s="121">
        <v>1258.3243408203125</v>
      </c>
      <c r="B93" s="143">
        <v>0.74660194174757288</v>
      </c>
      <c r="C93" s="143">
        <f t="shared" si="1"/>
        <v>0.25339805825242712</v>
      </c>
      <c r="D93" s="16">
        <f t="shared" si="2"/>
        <v>1.1650485436893288E-2</v>
      </c>
      <c r="E93" s="3">
        <f>(2*Table!$AC$16*0.147)/A93</f>
        <v>7.2838998890741399E-2</v>
      </c>
      <c r="F93" s="3">
        <f t="shared" si="3"/>
        <v>0.1456779977814828</v>
      </c>
      <c r="G93" s="121">
        <f>IF((('Raw Data'!C93)/('Raw Data'!C$136)*100)&lt;0,0,('Raw Data'!C93)/('Raw Data'!C$136)*100)</f>
        <v>74.653612664325308</v>
      </c>
      <c r="H93" s="121">
        <f t="shared" si="4"/>
        <v>1.1653511418701044</v>
      </c>
      <c r="I93" s="118">
        <f t="shared" si="5"/>
        <v>4.0098858557356065E-2</v>
      </c>
      <c r="J93" s="3">
        <f>'Raw Data'!F93/I93</f>
        <v>0.29061952978118533</v>
      </c>
      <c r="K93" s="27">
        <f t="shared" si="6"/>
        <v>2.449446262371227</v>
      </c>
      <c r="L93" s="121">
        <f>A93*Table!$AC$9/$AC$16</f>
        <v>282.5409507737748</v>
      </c>
      <c r="M93" s="121">
        <f>A93*Table!$AD$9/$AC$16</f>
        <v>96.87118312243706</v>
      </c>
      <c r="N93" s="121">
        <f>ABS(A93*Table!$AE$9/$AC$16)</f>
        <v>122.34382048974875</v>
      </c>
      <c r="O93" s="121">
        <f>($L93*(Table!$AC$10/Table!$AC$9)/(Table!$AC$12-Table!$AC$14))</f>
        <v>606.05094546069245</v>
      </c>
      <c r="P93" s="121">
        <f>ROUND(($N93*(Table!$AE$10/Table!$AE$9)/(Table!$AC$12-Table!$AC$13)),2)</f>
        <v>1004.46</v>
      </c>
      <c r="Q93" s="121">
        <f>'Raw Data'!C93</f>
        <v>1.153098821185728</v>
      </c>
      <c r="R93" s="121">
        <f>'Raw Data'!C93/'Raw Data'!I$30*100</f>
        <v>10.45304315974292</v>
      </c>
      <c r="S93" s="156">
        <f t="shared" si="7"/>
        <v>0.13793103448275967</v>
      </c>
      <c r="T93" s="156">
        <f t="shared" si="8"/>
        <v>1.2444655303937013E-3</v>
      </c>
      <c r="U93" s="29">
        <f t="shared" si="9"/>
        <v>8.3071135323731331E-3</v>
      </c>
      <c r="V93" s="29">
        <f t="shared" si="10"/>
        <v>0.1209937932753838</v>
      </c>
      <c r="W93" s="29">
        <f t="shared" si="11"/>
        <v>9.1474478610439081E-5</v>
      </c>
      <c r="X93" s="93">
        <f t="shared" si="12"/>
        <v>0.31408477998317746</v>
      </c>
      <c r="AS93" s="19"/>
      <c r="AT93" s="19"/>
    </row>
    <row r="94" spans="1:46" x14ac:dyDescent="0.2">
      <c r="A94" s="121">
        <v>1378.476806640625</v>
      </c>
      <c r="B94" s="143">
        <v>0.75799352750809068</v>
      </c>
      <c r="C94" s="143">
        <f t="shared" si="1"/>
        <v>0.24200647249190932</v>
      </c>
      <c r="D94" s="16">
        <f t="shared" si="2"/>
        <v>1.1391585760517797E-2</v>
      </c>
      <c r="E94" s="3">
        <f>(2*Table!$AC$16*0.147)/A94</f>
        <v>6.6490117805151086E-2</v>
      </c>
      <c r="F94" s="3">
        <f t="shared" si="3"/>
        <v>0.13298023561030217</v>
      </c>
      <c r="G94" s="121">
        <f>IF((('Raw Data'!C94)/('Raw Data'!C$136)*100)&lt;0,0,('Raw Data'!C94)/('Raw Data'!C$136)*100)</f>
        <v>75.793067114153857</v>
      </c>
      <c r="H94" s="121">
        <f t="shared" si="4"/>
        <v>1.1394544498285484</v>
      </c>
      <c r="I94" s="118">
        <f t="shared" si="5"/>
        <v>3.9606865738860186E-2</v>
      </c>
      <c r="J94" s="3">
        <f>'Raw Data'!F94/I94</f>
        <v>0.28769114358639453</v>
      </c>
      <c r="K94" s="27">
        <f t="shared" si="6"/>
        <v>2.6833342980476171</v>
      </c>
      <c r="L94" s="121">
        <f>A94*Table!$AC$9/$AC$16</f>
        <v>309.5196802073591</v>
      </c>
      <c r="M94" s="121">
        <f>A94*Table!$AD$9/$AC$16</f>
        <v>106.12103321395169</v>
      </c>
      <c r="N94" s="121">
        <f>ABS(A94*Table!$AE$9/$AC$16)</f>
        <v>134.02595301540424</v>
      </c>
      <c r="O94" s="121">
        <f>($L94*(Table!$AC$10/Table!$AC$9)/(Table!$AC$12-Table!$AC$14))</f>
        <v>663.92037796516331</v>
      </c>
      <c r="P94" s="121">
        <f>ROUND(($N94*(Table!$AE$10/Table!$AE$9)/(Table!$AC$12-Table!$AC$13)),2)</f>
        <v>1100.3800000000001</v>
      </c>
      <c r="Q94" s="121">
        <f>'Raw Data'!C94</f>
        <v>1.1706988211857281</v>
      </c>
      <c r="R94" s="121">
        <f>'Raw Data'!C94/'Raw Data'!I$30*100</f>
        <v>10.612590248189594</v>
      </c>
      <c r="S94" s="156">
        <f t="shared" si="7"/>
        <v>0.13486590038314178</v>
      </c>
      <c r="T94" s="156">
        <f t="shared" si="8"/>
        <v>1.0074708045598735E-3</v>
      </c>
      <c r="U94" s="29">
        <f t="shared" si="9"/>
        <v>7.6987804198553654E-3</v>
      </c>
      <c r="V94" s="29">
        <f t="shared" si="10"/>
        <v>0.1063928357571735</v>
      </c>
      <c r="W94" s="29">
        <f t="shared" si="11"/>
        <v>7.4529185322868302E-5</v>
      </c>
      <c r="X94" s="93">
        <f t="shared" si="12"/>
        <v>0.31415930916850032</v>
      </c>
      <c r="AS94" s="19"/>
      <c r="AT94" s="19"/>
    </row>
    <row r="95" spans="1:46" x14ac:dyDescent="0.2">
      <c r="A95" s="121">
        <v>1509.9443359375</v>
      </c>
      <c r="B95" s="143">
        <v>0.76880258899676379</v>
      </c>
      <c r="C95" s="143">
        <f t="shared" si="1"/>
        <v>0.23119741100323621</v>
      </c>
      <c r="D95" s="16">
        <f t="shared" si="2"/>
        <v>1.0809061488673111E-2</v>
      </c>
      <c r="E95" s="3">
        <f>(2*Table!$AC$16*0.147)/A95</f>
        <v>6.0700969621040025E-2</v>
      </c>
      <c r="F95" s="3">
        <f t="shared" si="3"/>
        <v>0.12140193924208005</v>
      </c>
      <c r="G95" s="121">
        <f>IF((('Raw Data'!C95)/('Raw Data'!C$136)*100)&lt;0,0,('Raw Data'!C95)/('Raw Data'!C$136)*100)</f>
        <v>76.87425400688889</v>
      </c>
      <c r="H95" s="121">
        <f t="shared" si="4"/>
        <v>1.0811868927350332</v>
      </c>
      <c r="I95" s="118">
        <f t="shared" si="5"/>
        <v>3.9561473987247409E-2</v>
      </c>
      <c r="J95" s="3">
        <f>'Raw Data'!F95/I95</f>
        <v>0.27329287404295155</v>
      </c>
      <c r="K95" s="27">
        <f t="shared" si="6"/>
        <v>2.9392481652541282</v>
      </c>
      <c r="L95" s="121">
        <f>A95*Table!$AC$9/$AC$16</f>
        <v>339.03906524858229</v>
      </c>
      <c r="M95" s="121">
        <f>A95*Table!$AD$9/$AC$16</f>
        <v>116.24196522808536</v>
      </c>
      <c r="N95" s="121">
        <f>ABS(A95*Table!$AE$9/$AC$16)</f>
        <v>146.80822169030108</v>
      </c>
      <c r="O95" s="121">
        <f>($L95*(Table!$AC$10/Table!$AC$9)/(Table!$AC$12-Table!$AC$14))</f>
        <v>727.23952219773139</v>
      </c>
      <c r="P95" s="121">
        <f>ROUND(($N95*(Table!$AE$10/Table!$AE$9)/(Table!$AC$12-Table!$AC$13)),2)</f>
        <v>1205.32</v>
      </c>
      <c r="Q95" s="121">
        <f>'Raw Data'!C95</f>
        <v>1.187398821185728</v>
      </c>
      <c r="R95" s="121">
        <f>'Raw Data'!C95/'Raw Data'!I$30*100</f>
        <v>10.763978678704337</v>
      </c>
      <c r="S95" s="156">
        <f t="shared" si="7"/>
        <v>0.12796934865900353</v>
      </c>
      <c r="T95" s="156">
        <f t="shared" si="8"/>
        <v>8.2004924968237525E-4</v>
      </c>
      <c r="U95" s="29">
        <f t="shared" si="9"/>
        <v>7.1287254917388439E-3</v>
      </c>
      <c r="V95" s="29">
        <f t="shared" si="10"/>
        <v>9.3414867950808486E-2</v>
      </c>
      <c r="W95" s="29">
        <f t="shared" si="11"/>
        <v>5.8939606136019861E-5</v>
      </c>
      <c r="X95" s="93">
        <f t="shared" si="12"/>
        <v>0.31421824877463633</v>
      </c>
      <c r="Z95" s="112"/>
      <c r="AS95" s="19"/>
      <c r="AT95" s="19"/>
    </row>
    <row r="96" spans="1:46" x14ac:dyDescent="0.2">
      <c r="A96" s="121">
        <v>1649.330322265625</v>
      </c>
      <c r="B96" s="143">
        <v>0.77902912621359222</v>
      </c>
      <c r="C96" s="143">
        <f t="shared" si="1"/>
        <v>0.22097087378640778</v>
      </c>
      <c r="D96" s="16">
        <f t="shared" si="2"/>
        <v>1.0226537216828424E-2</v>
      </c>
      <c r="E96" s="3">
        <f>(2*Table!$AC$16*0.147)/A96</f>
        <v>5.5571090901488054E-2</v>
      </c>
      <c r="F96" s="3">
        <f t="shared" si="3"/>
        <v>0.11114218180297611</v>
      </c>
      <c r="G96" s="121">
        <f>IF((('Raw Data'!C96)/('Raw Data'!C$136)*100)&lt;0,0,('Raw Data'!C96)/('Raw Data'!C$136)*100)</f>
        <v>77.897173342530422</v>
      </c>
      <c r="H96" s="121">
        <f t="shared" si="4"/>
        <v>1.0229193356415323</v>
      </c>
      <c r="I96" s="118">
        <f t="shared" si="5"/>
        <v>3.8346706044510626E-2</v>
      </c>
      <c r="J96" s="3">
        <f>'Raw Data'!F96/I96</f>
        <v>0.26675546380807558</v>
      </c>
      <c r="K96" s="27">
        <f t="shared" si="6"/>
        <v>3.2105760512074264</v>
      </c>
      <c r="L96" s="121">
        <f>A96*Table!$AC$9/$AC$16</f>
        <v>370.33644051513335</v>
      </c>
      <c r="M96" s="121">
        <f>A96*Table!$AD$9/$AC$16</f>
        <v>126.97249389090287</v>
      </c>
      <c r="N96" s="121">
        <f>ABS(A96*Table!$AE$9/$AC$16)</f>
        <v>160.36038271660505</v>
      </c>
      <c r="O96" s="121">
        <f>($L96*(Table!$AC$10/Table!$AC$9)/(Table!$AC$12-Table!$AC$14))</f>
        <v>794.37245927742049</v>
      </c>
      <c r="P96" s="121">
        <f>ROUND(($N96*(Table!$AE$10/Table!$AE$9)/(Table!$AC$12-Table!$AC$13)),2)</f>
        <v>1316.59</v>
      </c>
      <c r="Q96" s="121">
        <f>'Raw Data'!C96</f>
        <v>1.2031988211857281</v>
      </c>
      <c r="R96" s="121">
        <f>'Raw Data'!C96/'Raw Data'!I$30*100</f>
        <v>10.907208451287147</v>
      </c>
      <c r="S96" s="156">
        <f t="shared" si="7"/>
        <v>0.12107279693486529</v>
      </c>
      <c r="T96" s="156">
        <f t="shared" si="8"/>
        <v>6.7143284856796548E-4</v>
      </c>
      <c r="U96" s="29">
        <f t="shared" si="9"/>
        <v>6.61311339762693E-3</v>
      </c>
      <c r="V96" s="29">
        <f t="shared" si="10"/>
        <v>8.2277178577544324E-2</v>
      </c>
      <c r="W96" s="29">
        <f t="shared" si="11"/>
        <v>4.6736311374431645E-5</v>
      </c>
      <c r="X96" s="93">
        <f t="shared" si="12"/>
        <v>0.31426498508601075</v>
      </c>
      <c r="Z96" s="109"/>
      <c r="AS96" s="19"/>
      <c r="AT96" s="19"/>
    </row>
    <row r="97" spans="1:46" x14ac:dyDescent="0.2">
      <c r="A97" s="121">
        <v>1811.697021484375</v>
      </c>
      <c r="B97" s="143">
        <v>0.78957928802588995</v>
      </c>
      <c r="C97" s="143">
        <f t="shared" si="1"/>
        <v>0.21042071197411005</v>
      </c>
      <c r="D97" s="16">
        <f t="shared" si="2"/>
        <v>1.0550161812297731E-2</v>
      </c>
      <c r="E97" s="3">
        <f>(2*Table!$AC$16*0.147)/A97</f>
        <v>5.0590735745708749E-2</v>
      </c>
      <c r="F97" s="3">
        <f t="shared" si="3"/>
        <v>0.1011814714914175</v>
      </c>
      <c r="G97" s="121">
        <f>IF((('Raw Data'!C97)/('Raw Data'!C$136)*100)&lt;0,0,('Raw Data'!C97)/('Raw Data'!C$136)*100)</f>
        <v>78.952463543223899</v>
      </c>
      <c r="H97" s="121">
        <f t="shared" si="4"/>
        <v>1.0552902006934772</v>
      </c>
      <c r="I97" s="118">
        <f t="shared" si="5"/>
        <v>4.0777926950988252E-2</v>
      </c>
      <c r="J97" s="3">
        <f>'Raw Data'!F97/I97</f>
        <v>0.25878956572801126</v>
      </c>
      <c r="K97" s="27">
        <f t="shared" si="6"/>
        <v>3.5266380486060074</v>
      </c>
      <c r="L97" s="121">
        <f>A97*Table!$AC$9/$AC$16</f>
        <v>406.7938466727212</v>
      </c>
      <c r="M97" s="121">
        <f>A97*Table!$AD$9/$AC$16</f>
        <v>139.47217600207583</v>
      </c>
      <c r="N97" s="121">
        <f>ABS(A97*Table!$AE$9/$AC$16)</f>
        <v>176.14690266088419</v>
      </c>
      <c r="O97" s="121">
        <f>($L97*(Table!$AC$10/Table!$AC$9)/(Table!$AC$12-Table!$AC$14))</f>
        <v>872.57367368666075</v>
      </c>
      <c r="P97" s="121">
        <f>ROUND(($N97*(Table!$AE$10/Table!$AE$9)/(Table!$AC$12-Table!$AC$13)),2)</f>
        <v>1446.2</v>
      </c>
      <c r="Q97" s="121">
        <f>'Raw Data'!C97</f>
        <v>1.2194988211857281</v>
      </c>
      <c r="R97" s="121">
        <f>'Raw Data'!C97/'Raw Data'!I$30*100</f>
        <v>11.05497081160992</v>
      </c>
      <c r="S97" s="156">
        <f t="shared" si="7"/>
        <v>0.12490421455938698</v>
      </c>
      <c r="T97" s="156">
        <f t="shared" si="8"/>
        <v>5.4436332435447987E-4</v>
      </c>
      <c r="U97" s="29">
        <f t="shared" si="9"/>
        <v>6.1019975638930326E-3</v>
      </c>
      <c r="V97" s="29">
        <f t="shared" si="10"/>
        <v>7.181350077366476E-2</v>
      </c>
      <c r="W97" s="29">
        <f t="shared" si="11"/>
        <v>3.9960332811936562E-5</v>
      </c>
      <c r="X97" s="93">
        <f t="shared" si="12"/>
        <v>0.3143049454188227</v>
      </c>
      <c r="Z97" s="143"/>
      <c r="AS97" s="19"/>
      <c r="AT97" s="19"/>
    </row>
    <row r="98" spans="1:46" x14ac:dyDescent="0.2">
      <c r="A98" s="121">
        <v>1978.39794921875</v>
      </c>
      <c r="B98" s="143">
        <v>0.79948220064724929</v>
      </c>
      <c r="C98" s="143">
        <f t="shared" si="1"/>
        <v>0.20051779935275071</v>
      </c>
      <c r="D98" s="16">
        <f t="shared" si="2"/>
        <v>9.9029126213593388E-3</v>
      </c>
      <c r="E98" s="3">
        <f>(2*Table!$AC$16*0.147)/A98</f>
        <v>4.6327931800271699E-2</v>
      </c>
      <c r="F98" s="3">
        <f t="shared" si="3"/>
        <v>9.2655863600543398E-2</v>
      </c>
      <c r="G98" s="121">
        <f>IF((('Raw Data'!C98)/('Raw Data'!C$136)*100)&lt;0,0,('Raw Data'!C98)/('Raw Data'!C$136)*100)</f>
        <v>79.943012013813501</v>
      </c>
      <c r="H98" s="121">
        <f t="shared" si="4"/>
        <v>0.99054847058960149</v>
      </c>
      <c r="I98" s="118">
        <f t="shared" si="5"/>
        <v>3.8228082841646804E-2</v>
      </c>
      <c r="J98" s="3">
        <f>'Raw Data'!F98/I98</f>
        <v>0.25911539291488062</v>
      </c>
      <c r="K98" s="27">
        <f t="shared" si="6"/>
        <v>3.8511370280238175</v>
      </c>
      <c r="L98" s="121">
        <f>A98*Table!$AC$9/$AC$16</f>
        <v>444.22444949030307</v>
      </c>
      <c r="M98" s="121">
        <f>A98*Table!$AD$9/$AC$16</f>
        <v>152.30552553953248</v>
      </c>
      <c r="N98" s="121">
        <f>ABS(A98*Table!$AE$9/$AC$16)</f>
        <v>192.35482912037986</v>
      </c>
      <c r="O98" s="121">
        <f>($L98*(Table!$AC$10/Table!$AC$9)/(Table!$AC$12-Table!$AC$14))</f>
        <v>952.86239701909722</v>
      </c>
      <c r="P98" s="121">
        <f>ROUND(($N98*(Table!$AE$10/Table!$AE$9)/(Table!$AC$12-Table!$AC$13)),2)</f>
        <v>1579.27</v>
      </c>
      <c r="Q98" s="121">
        <f>'Raw Data'!C98</f>
        <v>1.2347988211857281</v>
      </c>
      <c r="R98" s="121">
        <f>'Raw Data'!C98/'Raw Data'!I$30*100</f>
        <v>11.193667996452767</v>
      </c>
      <c r="S98" s="156">
        <f t="shared" si="7"/>
        <v>0.11724137931034624</v>
      </c>
      <c r="T98" s="156">
        <f t="shared" si="8"/>
        <v>4.4434281438632262E-4</v>
      </c>
      <c r="U98" s="29">
        <f t="shared" si="9"/>
        <v>5.6579456124451789E-3</v>
      </c>
      <c r="V98" s="29">
        <f t="shared" si="10"/>
        <v>6.3200261191912174E-2</v>
      </c>
      <c r="W98" s="29">
        <f t="shared" si="11"/>
        <v>3.1454063364776792E-5</v>
      </c>
      <c r="X98" s="93">
        <f t="shared" si="12"/>
        <v>0.3143363994821875</v>
      </c>
      <c r="Z98" s="143"/>
      <c r="AS98" s="19"/>
      <c r="AT98" s="19"/>
    </row>
    <row r="99" spans="1:46" x14ac:dyDescent="0.2">
      <c r="A99" s="121">
        <v>2158.043212890625</v>
      </c>
      <c r="B99" s="143">
        <v>0.80886731391585764</v>
      </c>
      <c r="C99" s="143">
        <f t="shared" si="1"/>
        <v>0.19113268608414236</v>
      </c>
      <c r="D99" s="16">
        <f t="shared" si="2"/>
        <v>9.3851132686083583E-3</v>
      </c>
      <c r="E99" s="3">
        <f>(2*Table!$AC$16*0.147)/A99</f>
        <v>4.2471385520790751E-2</v>
      </c>
      <c r="F99" s="3">
        <f t="shared" si="3"/>
        <v>8.4942771041581502E-2</v>
      </c>
      <c r="G99" s="121">
        <f>IF((('Raw Data'!C99)/('Raw Data'!C$136)*100)&lt;0,0,('Raw Data'!C99)/('Raw Data'!C$136)*100)</f>
        <v>80.881767100319962</v>
      </c>
      <c r="H99" s="121">
        <f t="shared" si="4"/>
        <v>0.93875508650646111</v>
      </c>
      <c r="I99" s="118">
        <f t="shared" si="5"/>
        <v>3.7746483624087723E-2</v>
      </c>
      <c r="J99" s="3">
        <f>'Raw Data'!F99/I99</f>
        <v>0.24870001027258551</v>
      </c>
      <c r="K99" s="27">
        <f t="shared" si="6"/>
        <v>4.2008333705160146</v>
      </c>
      <c r="L99" s="121">
        <f>A99*Table!$AC$9/$AC$16</f>
        <v>484.56154061481237</v>
      </c>
      <c r="M99" s="121">
        <f>A99*Table!$AD$9/$AC$16</f>
        <v>166.13538535364995</v>
      </c>
      <c r="N99" s="121">
        <f>ABS(A99*Table!$AE$9/$AC$16)</f>
        <v>209.82130193467628</v>
      </c>
      <c r="O99" s="121">
        <f>($L99*(Table!$AC$10/Table!$AC$9)/(Table!$AC$12-Table!$AC$14))</f>
        <v>1039.3855440043167</v>
      </c>
      <c r="P99" s="121">
        <f>ROUND(($N99*(Table!$AE$10/Table!$AE$9)/(Table!$AC$12-Table!$AC$13)),2)</f>
        <v>1722.67</v>
      </c>
      <c r="Q99" s="121">
        <f>'Raw Data'!C99</f>
        <v>1.2492988211857281</v>
      </c>
      <c r="R99" s="121">
        <f>'Raw Data'!C99/'Raw Data'!I$30*100</f>
        <v>11.325113040911674</v>
      </c>
      <c r="S99" s="156">
        <f t="shared" si="7"/>
        <v>0.11111111111111049</v>
      </c>
      <c r="T99" s="156">
        <f t="shared" si="8"/>
        <v>3.6467687735197707E-4</v>
      </c>
      <c r="U99" s="29">
        <f t="shared" si="9"/>
        <v>5.2478620322630488E-3</v>
      </c>
      <c r="V99" s="29">
        <f t="shared" si="10"/>
        <v>5.5649741197325221E-2</v>
      </c>
      <c r="W99" s="29">
        <f t="shared" si="11"/>
        <v>2.5053035945217006E-5</v>
      </c>
      <c r="X99" s="93">
        <f t="shared" si="12"/>
        <v>0.31436145251813274</v>
      </c>
      <c r="Z99" s="143"/>
      <c r="AS99" s="19"/>
      <c r="AT99" s="19"/>
    </row>
    <row r="100" spans="1:46" x14ac:dyDescent="0.2">
      <c r="A100" s="121">
        <v>2368.145751953125</v>
      </c>
      <c r="B100" s="143">
        <v>0.81851132686084138</v>
      </c>
      <c r="C100" s="143">
        <f t="shared" si="1"/>
        <v>0.18148867313915862</v>
      </c>
      <c r="D100" s="16">
        <f t="shared" si="2"/>
        <v>9.6440129449837375E-3</v>
      </c>
      <c r="E100" s="3">
        <f>(2*Table!$AC$16*0.147)/A100</f>
        <v>3.8703312576774986E-2</v>
      </c>
      <c r="F100" s="3">
        <f t="shared" si="3"/>
        <v>7.7406625153549971E-2</v>
      </c>
      <c r="G100" s="121">
        <f>IF((('Raw Data'!C100)/('Raw Data'!C$136)*100)&lt;0,0,('Raw Data'!C100)/('Raw Data'!C$136)*100)</f>
        <v>81.846418878867993</v>
      </c>
      <c r="H100" s="121">
        <f t="shared" si="4"/>
        <v>0.9646517785480313</v>
      </c>
      <c r="I100" s="118">
        <f t="shared" si="5"/>
        <v>4.0348291544840098E-2</v>
      </c>
      <c r="J100" s="3">
        <f>'Raw Data'!F100/I100</f>
        <v>0.2390811956625199</v>
      </c>
      <c r="K100" s="27">
        <f t="shared" si="6"/>
        <v>4.6098176540798619</v>
      </c>
      <c r="L100" s="121">
        <f>A100*Table!$AC$9/$AC$16</f>
        <v>531.73743098025182</v>
      </c>
      <c r="M100" s="121">
        <f>A100*Table!$AD$9/$AC$16</f>
        <v>182.30997633608632</v>
      </c>
      <c r="N100" s="121">
        <f>ABS(A100*Table!$AE$9/$AC$16)</f>
        <v>230.24906168598633</v>
      </c>
      <c r="O100" s="121">
        <f>($L100*(Table!$AC$10/Table!$AC$9)/(Table!$AC$12-Table!$AC$14))</f>
        <v>1140.5779300305703</v>
      </c>
      <c r="P100" s="121">
        <f>ROUND(($N100*(Table!$AE$10/Table!$AE$9)/(Table!$AC$12-Table!$AC$13)),2)</f>
        <v>1890.39</v>
      </c>
      <c r="Q100" s="121">
        <f>'Raw Data'!C100</f>
        <v>1.264198821185728</v>
      </c>
      <c r="R100" s="121">
        <f>'Raw Data'!C100/'Raw Data'!I$30*100</f>
        <v>11.460184155562551</v>
      </c>
      <c r="S100" s="156">
        <f t="shared" si="7"/>
        <v>0.11417624521072706</v>
      </c>
      <c r="T100" s="156">
        <f t="shared" si="8"/>
        <v>2.9669481245298002E-4</v>
      </c>
      <c r="U100" s="29">
        <f t="shared" si="9"/>
        <v>4.8393069329076468E-3</v>
      </c>
      <c r="V100" s="29">
        <f t="shared" si="10"/>
        <v>4.8522283723011143E-2</v>
      </c>
      <c r="W100" s="29">
        <f t="shared" si="11"/>
        <v>2.1378736997884576E-5</v>
      </c>
      <c r="X100" s="93">
        <f t="shared" si="12"/>
        <v>0.31438283125513061</v>
      </c>
      <c r="Z100" s="143"/>
      <c r="AS100" s="19"/>
      <c r="AT100" s="19"/>
    </row>
    <row r="101" spans="1:46" x14ac:dyDescent="0.2">
      <c r="A101" s="121">
        <v>2588.4326171875</v>
      </c>
      <c r="B101" s="143">
        <v>0.82770226537216829</v>
      </c>
      <c r="C101" s="143">
        <f t="shared" si="1"/>
        <v>0.17229773462783171</v>
      </c>
      <c r="D101" s="16">
        <f t="shared" si="2"/>
        <v>9.1909385113269071E-3</v>
      </c>
      <c r="E101" s="3">
        <f>(2*Table!$AC$16*0.147)/A101</f>
        <v>3.5409492469150247E-2</v>
      </c>
      <c r="F101" s="3">
        <f t="shared" si="3"/>
        <v>7.0818984938300494E-2</v>
      </c>
      <c r="G101" s="121">
        <f>IF((('Raw Data'!C101)/('Raw Data'!C$136)*100)&lt;0,0,('Raw Data'!C101)/('Raw Data'!C$136)*100)</f>
        <v>82.765751446343288</v>
      </c>
      <c r="H101" s="121">
        <f t="shared" si="4"/>
        <v>0.91933256747529413</v>
      </c>
      <c r="I101" s="118">
        <f t="shared" si="5"/>
        <v>3.8628435449357124E-2</v>
      </c>
      <c r="J101" s="3">
        <f>'Raw Data'!F101/I101</f>
        <v>0.23799373616375527</v>
      </c>
      <c r="K101" s="27">
        <f t="shared" si="6"/>
        <v>5.0386266830350328</v>
      </c>
      <c r="L101" s="121">
        <f>A101*Table!$AC$9/$AC$16</f>
        <v>581.20008407152068</v>
      </c>
      <c r="M101" s="121">
        <f>A101*Table!$AD$9/$AC$16</f>
        <v>199.26860025309279</v>
      </c>
      <c r="N101" s="121">
        <f>ABS(A101*Table!$AE$9/$AC$16)</f>
        <v>251.66701874379419</v>
      </c>
      <c r="O101" s="121">
        <f>($L101*(Table!$AC$10/Table!$AC$9)/(Table!$AC$12-Table!$AC$14))</f>
        <v>1246.6754270088391</v>
      </c>
      <c r="P101" s="121">
        <f>ROUND(($N101*(Table!$AE$10/Table!$AE$9)/(Table!$AC$12-Table!$AC$13)),2)</f>
        <v>2066.23</v>
      </c>
      <c r="Q101" s="121">
        <f>'Raw Data'!C101</f>
        <v>1.278398821185728</v>
      </c>
      <c r="R101" s="121">
        <f>'Raw Data'!C101/'Raw Data'!I$30*100</f>
        <v>11.588909647377482</v>
      </c>
      <c r="S101" s="156">
        <f t="shared" si="7"/>
        <v>0.10881226053639906</v>
      </c>
      <c r="T101" s="156">
        <f t="shared" si="8"/>
        <v>2.4246481839429457E-4</v>
      </c>
      <c r="U101" s="29">
        <f t="shared" si="9"/>
        <v>4.4771919386372072E-3</v>
      </c>
      <c r="V101" s="29">
        <f t="shared" si="10"/>
        <v>4.2542553783805004E-2</v>
      </c>
      <c r="W101" s="29">
        <f t="shared" si="11"/>
        <v>1.7054038915999973E-5</v>
      </c>
      <c r="X101" s="93">
        <f t="shared" si="12"/>
        <v>0.31439988529404661</v>
      </c>
      <c r="Z101" s="143"/>
      <c r="AS101" s="19"/>
      <c r="AT101" s="19"/>
    </row>
    <row r="102" spans="1:46" x14ac:dyDescent="0.2">
      <c r="A102" s="121">
        <v>2827.96240234375</v>
      </c>
      <c r="B102" s="143">
        <v>0.83663430420711971</v>
      </c>
      <c r="C102" s="143">
        <f t="shared" si="1"/>
        <v>0.16336569579288029</v>
      </c>
      <c r="D102" s="16">
        <f t="shared" si="2"/>
        <v>8.9320388349514168E-3</v>
      </c>
      <c r="E102" s="3">
        <f>(2*Table!$AC$16*0.147)/A102</f>
        <v>3.2410291306999704E-2</v>
      </c>
      <c r="F102" s="3">
        <f t="shared" si="3"/>
        <v>6.4820582613999408E-2</v>
      </c>
      <c r="G102" s="121">
        <f>IF((('Raw Data'!C102)/('Raw Data'!C$136)*100)&lt;0,0,('Raw Data'!C102)/('Raw Data'!C$136)*100)</f>
        <v>83.659187321777026</v>
      </c>
      <c r="H102" s="121">
        <f t="shared" si="4"/>
        <v>0.89343587543373815</v>
      </c>
      <c r="I102" s="118">
        <f t="shared" si="5"/>
        <v>3.843676744624025E-2</v>
      </c>
      <c r="J102" s="3">
        <f>'Raw Data'!F102/I102</f>
        <v>0.23244303171002964</v>
      </c>
      <c r="K102" s="27">
        <f t="shared" si="6"/>
        <v>5.5048938591075185</v>
      </c>
      <c r="L102" s="121">
        <f>A102*Table!$AC$9/$AC$16</f>
        <v>634.98349351631111</v>
      </c>
      <c r="M102" s="121">
        <f>A102*Table!$AD$9/$AC$16</f>
        <v>217.70862634844951</v>
      </c>
      <c r="N102" s="121">
        <f>ABS(A102*Table!$AE$9/$AC$16)</f>
        <v>274.95591818445843</v>
      </c>
      <c r="O102" s="121">
        <f>($L102*(Table!$AC$10/Table!$AC$9)/(Table!$AC$12-Table!$AC$14))</f>
        <v>1362.0409556334432</v>
      </c>
      <c r="P102" s="121">
        <f>ROUND(($N102*(Table!$AE$10/Table!$AE$9)/(Table!$AC$12-Table!$AC$13)),2)</f>
        <v>2257.44</v>
      </c>
      <c r="Q102" s="121">
        <f>'Raw Data'!C102</f>
        <v>1.292198821185728</v>
      </c>
      <c r="R102" s="121">
        <f>'Raw Data'!C102/'Raw Data'!I$30*100</f>
        <v>11.714009069000443</v>
      </c>
      <c r="S102" s="156">
        <f t="shared" si="7"/>
        <v>0.10574712643678118</v>
      </c>
      <c r="T102" s="156">
        <f t="shared" si="8"/>
        <v>1.9831216947763242E-4</v>
      </c>
      <c r="U102" s="29">
        <f t="shared" si="9"/>
        <v>4.142208205912548E-3</v>
      </c>
      <c r="V102" s="29">
        <f t="shared" si="10"/>
        <v>3.7300279005473766E-2</v>
      </c>
      <c r="W102" s="29">
        <f t="shared" si="11"/>
        <v>1.388495436776164E-5</v>
      </c>
      <c r="X102" s="93">
        <f t="shared" si="12"/>
        <v>0.31441377024841438</v>
      </c>
      <c r="Z102" s="143"/>
      <c r="AS102" s="19"/>
      <c r="AT102" s="19"/>
    </row>
    <row r="103" spans="1:46" x14ac:dyDescent="0.2">
      <c r="A103" s="121">
        <v>3098.44970703125</v>
      </c>
      <c r="B103" s="143">
        <v>0.84582524271844661</v>
      </c>
      <c r="C103" s="143">
        <f t="shared" si="1"/>
        <v>0.15417475728155339</v>
      </c>
      <c r="D103" s="16">
        <f t="shared" si="2"/>
        <v>9.1909385113269071E-3</v>
      </c>
      <c r="E103" s="3">
        <f>(2*Table!$AC$16*0.147)/A103</f>
        <v>2.958094980764496E-2</v>
      </c>
      <c r="F103" s="3">
        <f t="shared" si="3"/>
        <v>5.916189961528992E-2</v>
      </c>
      <c r="G103" s="121">
        <f>IF((('Raw Data'!C103)/('Raw Data'!C$136)*100)&lt;0,0,('Raw Data'!C103)/('Raw Data'!C$136)*100)</f>
        <v>84.578519889252334</v>
      </c>
      <c r="H103" s="121">
        <f t="shared" si="4"/>
        <v>0.91933256747530834</v>
      </c>
      <c r="I103" s="118">
        <f t="shared" si="5"/>
        <v>3.9670819990358153E-2</v>
      </c>
      <c r="J103" s="3">
        <f>'Raw Data'!F103/I103</f>
        <v>0.23174024829805548</v>
      </c>
      <c r="K103" s="27">
        <f t="shared" si="6"/>
        <v>6.0314227483553786</v>
      </c>
      <c r="L103" s="121">
        <f>A103*Table!$AC$9/$AC$16</f>
        <v>695.71802575052084</v>
      </c>
      <c r="M103" s="121">
        <f>A103*Table!$AD$9/$AC$16</f>
        <v>238.53189454303569</v>
      </c>
      <c r="N103" s="121">
        <f>ABS(A103*Table!$AE$9/$AC$16)</f>
        <v>301.25474208535366</v>
      </c>
      <c r="O103" s="121">
        <f>($L103*(Table!$AC$10/Table!$AC$9)/(Table!$AC$12-Table!$AC$14))</f>
        <v>1492.3166575515249</v>
      </c>
      <c r="P103" s="121">
        <f>ROUND(($N103*(Table!$AE$10/Table!$AE$9)/(Table!$AC$12-Table!$AC$13)),2)</f>
        <v>2473.36</v>
      </c>
      <c r="Q103" s="121">
        <f>'Raw Data'!C103</f>
        <v>1.306398821185728</v>
      </c>
      <c r="R103" s="121">
        <f>'Raw Data'!C103/'Raw Data'!I$30*100</f>
        <v>11.842734560815375</v>
      </c>
      <c r="S103" s="156">
        <f t="shared" si="7"/>
        <v>0.10881226053639906</v>
      </c>
      <c r="T103" s="156">
        <f t="shared" si="8"/>
        <v>1.6046578630946051E-4</v>
      </c>
      <c r="U103" s="29">
        <f t="shared" si="9"/>
        <v>3.822148390513131E-3</v>
      </c>
      <c r="V103" s="29">
        <f t="shared" si="10"/>
        <v>3.255779262602445E-2</v>
      </c>
      <c r="W103" s="29">
        <f t="shared" si="11"/>
        <v>1.1901784290822121E-5</v>
      </c>
      <c r="X103" s="93">
        <f t="shared" si="12"/>
        <v>0.31442567203270522</v>
      </c>
      <c r="Z103" s="143"/>
      <c r="AS103" s="19"/>
      <c r="AT103" s="19"/>
    </row>
    <row r="104" spans="1:46" x14ac:dyDescent="0.2">
      <c r="A104" s="121">
        <v>3388.340087890625</v>
      </c>
      <c r="B104" s="143">
        <v>0.85436893203883502</v>
      </c>
      <c r="C104" s="143">
        <f t="shared" si="1"/>
        <v>0.14563106796116498</v>
      </c>
      <c r="D104" s="16">
        <f t="shared" si="2"/>
        <v>8.5436893203884035E-3</v>
      </c>
      <c r="E104" s="3">
        <f>(2*Table!$AC$16*0.147)/A104</f>
        <v>2.7050143399939094E-2</v>
      </c>
      <c r="F104" s="3">
        <f t="shared" si="3"/>
        <v>5.4100286799878189E-2</v>
      </c>
      <c r="G104" s="121">
        <f>IF((('Raw Data'!C104)/('Raw Data'!C$136)*100)&lt;0,0,('Raw Data'!C104)/('Raw Data'!C$136)*100)</f>
        <v>85.433110726623752</v>
      </c>
      <c r="H104" s="121">
        <f t="shared" si="4"/>
        <v>0.85459083737141839</v>
      </c>
      <c r="I104" s="118">
        <f t="shared" si="5"/>
        <v>3.8842542784241152E-2</v>
      </c>
      <c r="J104" s="3">
        <f>'Raw Data'!F104/I104</f>
        <v>0.2200141329877438</v>
      </c>
      <c r="K104" s="27">
        <f t="shared" si="6"/>
        <v>6.5957215438713792</v>
      </c>
      <c r="L104" s="121">
        <f>A104*Table!$AC$9/$AC$16</f>
        <v>760.80927541575761</v>
      </c>
      <c r="M104" s="121">
        <f>A104*Table!$AD$9/$AC$16</f>
        <v>260.84889442825977</v>
      </c>
      <c r="N104" s="121">
        <f>ABS(A104*Table!$AE$9/$AC$16)</f>
        <v>329.44007997243887</v>
      </c>
      <c r="O104" s="121">
        <f>($L104*(Table!$AC$10/Table!$AC$9)/(Table!$AC$12-Table!$AC$14))</f>
        <v>1631.937527704328</v>
      </c>
      <c r="P104" s="121">
        <f>ROUND(($N104*(Table!$AE$10/Table!$AE$9)/(Table!$AC$12-Table!$AC$13)),2)</f>
        <v>2704.76</v>
      </c>
      <c r="Q104" s="121">
        <f>'Raw Data'!C104</f>
        <v>1.3195988211857281</v>
      </c>
      <c r="R104" s="121">
        <f>'Raw Data'!C104/'Raw Data'!I$30*100</f>
        <v>11.962394877150381</v>
      </c>
      <c r="S104" s="156">
        <f t="shared" si="7"/>
        <v>0.101149425287357</v>
      </c>
      <c r="T104" s="156">
        <f t="shared" si="8"/>
        <v>1.3104699108779094E-4</v>
      </c>
      <c r="U104" s="29">
        <f t="shared" si="9"/>
        <v>3.5304587399305133E-3</v>
      </c>
      <c r="V104" s="29">
        <f t="shared" si="10"/>
        <v>2.8467894910218922E-2</v>
      </c>
      <c r="W104" s="29">
        <f t="shared" si="11"/>
        <v>9.2515090086551816E-6</v>
      </c>
      <c r="X104" s="93">
        <f t="shared" si="12"/>
        <v>0.31443492354171387</v>
      </c>
      <c r="Z104" s="143"/>
      <c r="AS104" s="19"/>
      <c r="AT104" s="19"/>
    </row>
    <row r="105" spans="1:46" x14ac:dyDescent="0.2">
      <c r="A105" s="121">
        <v>3709.292724609375</v>
      </c>
      <c r="B105" s="143">
        <v>0.86284789644012949</v>
      </c>
      <c r="C105" s="143">
        <f t="shared" si="1"/>
        <v>0.13715210355987051</v>
      </c>
      <c r="D105" s="16">
        <f t="shared" si="2"/>
        <v>8.4789644012944754E-3</v>
      </c>
      <c r="E105" s="3">
        <f>(2*Table!$AC$16*0.147)/A105</f>
        <v>2.4709585376510239E-2</v>
      </c>
      <c r="F105" s="3">
        <f t="shared" si="3"/>
        <v>4.9419170753020478E-2</v>
      </c>
      <c r="G105" s="121">
        <f>IF((('Raw Data'!C105)/('Raw Data'!C$136)*100)&lt;0,0,('Raw Data'!C105)/('Raw Data'!C$136)*100)</f>
        <v>86.281227390984753</v>
      </c>
      <c r="H105" s="121">
        <f t="shared" si="4"/>
        <v>0.84811666436100097</v>
      </c>
      <c r="I105" s="118">
        <f t="shared" si="5"/>
        <v>3.930411369745257E-2</v>
      </c>
      <c r="J105" s="3">
        <f>'Raw Data'!F105/I105</f>
        <v>0.21578318007358571</v>
      </c>
      <c r="K105" s="27">
        <f t="shared" si="6"/>
        <v>7.2204859316415693</v>
      </c>
      <c r="L105" s="121">
        <f>A105*Table!$AC$9/$AC$16</f>
        <v>832.87516509945317</v>
      </c>
      <c r="M105" s="121">
        <f>A105*Table!$AD$9/$AC$16</f>
        <v>285.55719946266964</v>
      </c>
      <c r="N105" s="121">
        <f>ABS(A105*Table!$AE$9/$AC$16)</f>
        <v>360.64552557864249</v>
      </c>
      <c r="O105" s="121">
        <f>($L105*(Table!$AC$10/Table!$AC$9)/(Table!$AC$12-Table!$AC$14))</f>
        <v>1786.5190156573428</v>
      </c>
      <c r="P105" s="121">
        <f>ROUND(($N105*(Table!$AE$10/Table!$AE$9)/(Table!$AC$12-Table!$AC$13)),2)</f>
        <v>2960.96</v>
      </c>
      <c r="Q105" s="121">
        <f>'Raw Data'!C105</f>
        <v>1.332698821185728</v>
      </c>
      <c r="R105" s="121">
        <f>'Raw Data'!C105/'Raw Data'!I$30*100</f>
        <v>12.081148675937394</v>
      </c>
      <c r="S105" s="156">
        <f t="shared" si="7"/>
        <v>0.10038314176245187</v>
      </c>
      <c r="T105" s="156">
        <f t="shared" si="8"/>
        <v>1.0668493042398364E-4</v>
      </c>
      <c r="U105" s="29">
        <f t="shared" si="9"/>
        <v>3.2569952206211112E-3</v>
      </c>
      <c r="V105" s="29">
        <f t="shared" si="10"/>
        <v>2.4839717238111986E-2</v>
      </c>
      <c r="W105" s="29">
        <f t="shared" si="11"/>
        <v>7.6612866706662058E-6</v>
      </c>
      <c r="X105" s="93">
        <f t="shared" si="12"/>
        <v>0.31444258482838455</v>
      </c>
      <c r="Z105" s="143"/>
      <c r="AS105" s="19"/>
      <c r="AT105" s="19"/>
    </row>
    <row r="106" spans="1:46" x14ac:dyDescent="0.2">
      <c r="A106" s="121">
        <v>4057.572509765625</v>
      </c>
      <c r="B106" s="143">
        <v>0.87119741100323633</v>
      </c>
      <c r="C106" s="143">
        <f t="shared" si="1"/>
        <v>0.12880258899676367</v>
      </c>
      <c r="D106" s="16">
        <f t="shared" si="2"/>
        <v>8.3495145631068413E-3</v>
      </c>
      <c r="E106" s="3">
        <f>(2*Table!$AC$16*0.147)/A106</f>
        <v>2.258864999814824E-2</v>
      </c>
      <c r="F106" s="3">
        <f t="shared" si="3"/>
        <v>4.517729999629648E-2</v>
      </c>
      <c r="G106" s="121">
        <f>IF((('Raw Data'!C106)/('Raw Data'!C$136)*100)&lt;0,0,('Raw Data'!C106)/('Raw Data'!C$136)*100)</f>
        <v>87.116395709325005</v>
      </c>
      <c r="H106" s="121">
        <f t="shared" si="4"/>
        <v>0.8351683183402514</v>
      </c>
      <c r="I106" s="118">
        <f t="shared" si="5"/>
        <v>3.8975181805026793E-2</v>
      </c>
      <c r="J106" s="3">
        <f>'Raw Data'!F106/I106</f>
        <v>0.21428208404983634</v>
      </c>
      <c r="K106" s="27">
        <f t="shared" si="6"/>
        <v>7.8984451750066729</v>
      </c>
      <c r="L106" s="121">
        <f>A106*Table!$AC$9/$AC$16</f>
        <v>911.07702326996503</v>
      </c>
      <c r="M106" s="121">
        <f>A106*Table!$AD$9/$AC$16</f>
        <v>312.36926512113087</v>
      </c>
      <c r="N106" s="121">
        <f>ABS(A106*Table!$AE$9/$AC$16)</f>
        <v>394.50792347804793</v>
      </c>
      <c r="O106" s="121">
        <f>($L106*(Table!$AC$10/Table!$AC$9)/(Table!$AC$12-Table!$AC$14))</f>
        <v>1954.2621691762445</v>
      </c>
      <c r="P106" s="121">
        <f>ROUND(($N106*(Table!$AE$10/Table!$AE$9)/(Table!$AC$12-Table!$AC$13)),2)</f>
        <v>3238.98</v>
      </c>
      <c r="Q106" s="121">
        <f>'Raw Data'!C106</f>
        <v>1.3455988211857282</v>
      </c>
      <c r="R106" s="121">
        <f>'Raw Data'!C106/'Raw Data'!I$30*100</f>
        <v>12.198089439628422</v>
      </c>
      <c r="S106" s="156">
        <f t="shared" si="7"/>
        <v>9.8850574712644246E-2</v>
      </c>
      <c r="T106" s="156">
        <f t="shared" si="8"/>
        <v>8.6636421817165576E-5</v>
      </c>
      <c r="U106" s="29">
        <f t="shared" si="9"/>
        <v>3.0062529776782752E-3</v>
      </c>
      <c r="V106" s="29">
        <f t="shared" si="10"/>
        <v>2.1692722295984273E-2</v>
      </c>
      <c r="W106" s="29">
        <f t="shared" si="11"/>
        <v>6.3047774930374581E-6</v>
      </c>
      <c r="X106" s="93">
        <f t="shared" si="12"/>
        <v>0.31444888960587758</v>
      </c>
      <c r="Z106" s="143"/>
      <c r="AS106" s="19"/>
      <c r="AT106" s="19"/>
    </row>
    <row r="107" spans="1:46" x14ac:dyDescent="0.2">
      <c r="A107" s="121">
        <v>4435.63671875</v>
      </c>
      <c r="B107" s="143">
        <v>0.87967637540453081</v>
      </c>
      <c r="C107" s="143">
        <f t="shared" si="1"/>
        <v>0.12032362459546919</v>
      </c>
      <c r="D107" s="16">
        <f t="shared" si="2"/>
        <v>8.4789644012944754E-3</v>
      </c>
      <c r="E107" s="3">
        <f>(2*Table!$AC$16*0.147)/A107</f>
        <v>2.0663343523550058E-2</v>
      </c>
      <c r="F107" s="3">
        <f t="shared" si="3"/>
        <v>4.1326687047100116E-2</v>
      </c>
      <c r="G107" s="121">
        <f>IF((('Raw Data'!C107)/('Raw Data'!C$136)*100)&lt;0,0,('Raw Data'!C107)/('Raw Data'!C$136)*100)</f>
        <v>87.96451237368602</v>
      </c>
      <c r="H107" s="121">
        <f t="shared" si="4"/>
        <v>0.84811666436101518</v>
      </c>
      <c r="I107" s="118">
        <f t="shared" si="5"/>
        <v>3.8689680449560671E-2</v>
      </c>
      <c r="J107" s="3">
        <f>'Raw Data'!F107/I107</f>
        <v>0.2192100463240324</v>
      </c>
      <c r="K107" s="27">
        <f t="shared" si="6"/>
        <v>8.6343825908158696</v>
      </c>
      <c r="L107" s="121">
        <f>A107*Table!$AC$9/$AC$16</f>
        <v>995.96660030091107</v>
      </c>
      <c r="M107" s="121">
        <f>A107*Table!$AD$9/$AC$16</f>
        <v>341.47426296031239</v>
      </c>
      <c r="N107" s="121">
        <f>ABS(A107*Table!$AE$9/$AC$16)</f>
        <v>431.26618859070561</v>
      </c>
      <c r="O107" s="121">
        <f>($L107*(Table!$AC$10/Table!$AC$9)/(Table!$AC$12-Table!$AC$14))</f>
        <v>2136.3504939959485</v>
      </c>
      <c r="P107" s="121">
        <f>ROUND(($N107*(Table!$AE$10/Table!$AE$9)/(Table!$AC$12-Table!$AC$13)),2)</f>
        <v>3540.77</v>
      </c>
      <c r="Q107" s="121">
        <f>'Raw Data'!C107</f>
        <v>1.358698821185728</v>
      </c>
      <c r="R107" s="121">
        <f>'Raw Data'!C107/'Raw Data'!I$30*100</f>
        <v>12.316843238415435</v>
      </c>
      <c r="S107" s="156">
        <f t="shared" si="7"/>
        <v>0.10038314176245187</v>
      </c>
      <c r="T107" s="156">
        <f t="shared" si="8"/>
        <v>6.9599768113715044E-5</v>
      </c>
      <c r="U107" s="29">
        <f t="shared" si="9"/>
        <v>2.7767926048475914E-3</v>
      </c>
      <c r="V107" s="29">
        <f t="shared" si="10"/>
        <v>1.8967271446986639E-2</v>
      </c>
      <c r="W107" s="29">
        <f t="shared" si="11"/>
        <v>5.3576210047857346E-6</v>
      </c>
      <c r="X107" s="93">
        <f t="shared" si="12"/>
        <v>0.31445424722688237</v>
      </c>
      <c r="Z107" s="143"/>
      <c r="AS107" s="19"/>
      <c r="AT107" s="19"/>
    </row>
    <row r="108" spans="1:46" x14ac:dyDescent="0.2">
      <c r="A108" s="121">
        <v>4846.0087890625</v>
      </c>
      <c r="B108" s="143">
        <v>0.88776699029126216</v>
      </c>
      <c r="C108" s="143">
        <f t="shared" si="1"/>
        <v>0.11223300970873784</v>
      </c>
      <c r="D108" s="16">
        <f t="shared" si="2"/>
        <v>8.090614886731351E-3</v>
      </c>
      <c r="E108" s="3">
        <f>(2*Table!$AC$16*0.147)/A108</f>
        <v>1.8913520229692993E-2</v>
      </c>
      <c r="F108" s="3">
        <f t="shared" si="3"/>
        <v>3.7827040459385987E-2</v>
      </c>
      <c r="G108" s="121">
        <f>IF((('Raw Data'!C108)/('Raw Data'!C$136)*100)&lt;0,0,('Raw Data'!C108)/('Raw Data'!C$136)*100)</f>
        <v>88.773783999984687</v>
      </c>
      <c r="H108" s="121">
        <f t="shared" si="4"/>
        <v>0.809271626298667</v>
      </c>
      <c r="I108" s="118">
        <f t="shared" si="5"/>
        <v>3.8428227508530144E-2</v>
      </c>
      <c r="J108" s="3">
        <f>'Raw Data'!F108/I108</f>
        <v>0.21059301424168728</v>
      </c>
      <c r="K108" s="27">
        <f t="shared" si="6"/>
        <v>9.4332102866651031</v>
      </c>
      <c r="L108" s="121">
        <f>A108*Table!$AC$9/$AC$16</f>
        <v>1088.1105024378667</v>
      </c>
      <c r="M108" s="121">
        <f>A108*Table!$AD$9/$AC$16</f>
        <v>373.06645797869714</v>
      </c>
      <c r="N108" s="121">
        <f>ABS(A108*Table!$AE$9/$AC$16)</f>
        <v>471.16566861792097</v>
      </c>
      <c r="O108" s="121">
        <f>($L108*(Table!$AC$10/Table!$AC$9)/(Table!$AC$12-Table!$AC$14))</f>
        <v>2333.9993617285859</v>
      </c>
      <c r="P108" s="121">
        <f>ROUND(($N108*(Table!$AE$10/Table!$AE$9)/(Table!$AC$12-Table!$AC$13)),2)</f>
        <v>3868.36</v>
      </c>
      <c r="Q108" s="121">
        <f>'Raw Data'!C108</f>
        <v>1.371198821185728</v>
      </c>
      <c r="R108" s="121">
        <f>'Raw Data'!C108/'Raw Data'!I$30*100</f>
        <v>12.430157931914493</v>
      </c>
      <c r="S108" s="156">
        <f t="shared" si="7"/>
        <v>9.5785440613026379E-2</v>
      </c>
      <c r="T108" s="156">
        <f t="shared" si="8"/>
        <v>5.5980098953356539E-5</v>
      </c>
      <c r="U108" s="29">
        <f t="shared" si="9"/>
        <v>2.5650300015900734E-3</v>
      </c>
      <c r="V108" s="29">
        <f t="shared" si="10"/>
        <v>1.6586250768044843E-2</v>
      </c>
      <c r="W108" s="29">
        <f t="shared" si="11"/>
        <v>4.2830609133022566E-6</v>
      </c>
      <c r="X108" s="93">
        <f t="shared" si="12"/>
        <v>0.31445853028779569</v>
      </c>
      <c r="Z108" s="143"/>
      <c r="AS108" s="19"/>
      <c r="AT108" s="19"/>
    </row>
    <row r="109" spans="1:46" x14ac:dyDescent="0.2">
      <c r="A109" s="121">
        <v>5306.11669921875</v>
      </c>
      <c r="B109" s="143">
        <v>0.89579288025889969</v>
      </c>
      <c r="C109" s="143">
        <f t="shared" si="1"/>
        <v>0.10420711974110031</v>
      </c>
      <c r="D109" s="16">
        <f t="shared" si="2"/>
        <v>8.0258899676375339E-3</v>
      </c>
      <c r="E109" s="3">
        <f>(2*Table!$AC$16*0.147)/A109</f>
        <v>1.7273477094595101E-2</v>
      </c>
      <c r="F109" s="3">
        <f t="shared" si="3"/>
        <v>3.4546954189190203E-2</v>
      </c>
      <c r="G109" s="121">
        <f>IF((('Raw Data'!C109)/('Raw Data'!C$136)*100)&lt;0,0,('Raw Data'!C109)/('Raw Data'!C$136)*100)</f>
        <v>89.576581453272979</v>
      </c>
      <c r="H109" s="121">
        <f t="shared" si="4"/>
        <v>0.80279745328829222</v>
      </c>
      <c r="I109" s="118">
        <f t="shared" si="5"/>
        <v>3.939259986750776E-2</v>
      </c>
      <c r="J109" s="3">
        <f>'Raw Data'!F109/I109</f>
        <v>0.20379397551530171</v>
      </c>
      <c r="K109" s="27">
        <f t="shared" si="6"/>
        <v>10.328853456124065</v>
      </c>
      <c r="L109" s="121">
        <f>A109*Table!$AC$9/$AC$16</f>
        <v>1191.4219637017677</v>
      </c>
      <c r="M109" s="121">
        <f>A109*Table!$AD$9/$AC$16</f>
        <v>408.48753041203463</v>
      </c>
      <c r="N109" s="121">
        <f>ABS(A109*Table!$AE$9/$AC$16)</f>
        <v>515.9008435962362</v>
      </c>
      <c r="O109" s="121">
        <f>($L109*(Table!$AC$10/Table!$AC$9)/(Table!$AC$12-Table!$AC$14))</f>
        <v>2555.60266774296</v>
      </c>
      <c r="P109" s="121">
        <f>ROUND(($N109*(Table!$AE$10/Table!$AE$9)/(Table!$AC$12-Table!$AC$13)),2)</f>
        <v>4235.6400000000003</v>
      </c>
      <c r="Q109" s="121">
        <f>'Raw Data'!C109</f>
        <v>1.383598821185728</v>
      </c>
      <c r="R109" s="121">
        <f>'Raw Data'!C109/'Raw Data'!I$30*100</f>
        <v>12.542566107865557</v>
      </c>
      <c r="S109" s="156">
        <f t="shared" si="7"/>
        <v>9.5019157088122558E-2</v>
      </c>
      <c r="T109" s="156">
        <f t="shared" si="8"/>
        <v>4.4710900408029275E-5</v>
      </c>
      <c r="U109" s="29">
        <f t="shared" si="9"/>
        <v>2.363793866371667E-3</v>
      </c>
      <c r="V109" s="29">
        <f t="shared" si="10"/>
        <v>1.4445970765864779E-2</v>
      </c>
      <c r="W109" s="29">
        <f t="shared" si="11"/>
        <v>3.5438939996408219E-6</v>
      </c>
      <c r="X109" s="93">
        <f t="shared" si="12"/>
        <v>0.31446207418179534</v>
      </c>
      <c r="Z109" s="143"/>
      <c r="AS109" s="19"/>
      <c r="AT109" s="19"/>
    </row>
    <row r="110" spans="1:46" x14ac:dyDescent="0.2">
      <c r="A110" s="121">
        <v>5807.13818359375</v>
      </c>
      <c r="B110" s="143">
        <v>0.90330097087378647</v>
      </c>
      <c r="C110" s="143">
        <f t="shared" si="1"/>
        <v>9.6699029126213532E-2</v>
      </c>
      <c r="D110" s="16">
        <f t="shared" si="2"/>
        <v>7.5080906148867754E-3</v>
      </c>
      <c r="E110" s="3">
        <f>(2*Table!$AC$16*0.147)/A110</f>
        <v>1.5783176216496168E-2</v>
      </c>
      <c r="F110" s="3">
        <f t="shared" si="3"/>
        <v>3.1566352432992335E-2</v>
      </c>
      <c r="G110" s="121">
        <f>IF((('Raw Data'!C110)/('Raw Data'!C$136)*100)&lt;0,0,('Raw Data'!C110)/('Raw Data'!C$136)*100)</f>
        <v>90.327585522478159</v>
      </c>
      <c r="H110" s="121">
        <f t="shared" si="4"/>
        <v>0.75100406920518026</v>
      </c>
      <c r="I110" s="118">
        <f t="shared" si="5"/>
        <v>3.9185363061703615E-2</v>
      </c>
      <c r="J110" s="3">
        <f>'Raw Data'!F110/I110</f>
        <v>0.19165423273547283</v>
      </c>
      <c r="K110" s="27">
        <f t="shared" si="6"/>
        <v>11.304138732311273</v>
      </c>
      <c r="L110" s="121">
        <f>A110*Table!$AC$9/$AC$16</f>
        <v>1303.9200549817288</v>
      </c>
      <c r="M110" s="121">
        <f>A110*Table!$AD$9/$AC$16</f>
        <v>447.05830456516418</v>
      </c>
      <c r="N110" s="121">
        <f>ABS(A110*Table!$AE$9/$AC$16)</f>
        <v>564.61394605908959</v>
      </c>
      <c r="O110" s="121">
        <f>($L110*(Table!$AC$10/Table!$AC$9)/(Table!$AC$12-Table!$AC$14))</f>
        <v>2796.9113148471233</v>
      </c>
      <c r="P110" s="121">
        <f>ROUND(($N110*(Table!$AE$10/Table!$AE$9)/(Table!$AC$12-Table!$AC$13)),2)</f>
        <v>4635.58</v>
      </c>
      <c r="Q110" s="121">
        <f>'Raw Data'!C110</f>
        <v>1.395198821185728</v>
      </c>
      <c r="R110" s="121">
        <f>'Raw Data'!C110/'Raw Data'!I$30*100</f>
        <v>12.647722143432686</v>
      </c>
      <c r="S110" s="156">
        <f t="shared" si="7"/>
        <v>8.8888888888889447E-2</v>
      </c>
      <c r="T110" s="156">
        <f t="shared" si="8"/>
        <v>3.5909361594699263E-5</v>
      </c>
      <c r="U110" s="29">
        <f t="shared" si="9"/>
        <v>2.1779612855028769E-3</v>
      </c>
      <c r="V110" s="29">
        <f t="shared" si="10"/>
        <v>1.257811928054035E-2</v>
      </c>
      <c r="W110" s="29">
        <f t="shared" si="11"/>
        <v>2.767873905344132E-6</v>
      </c>
      <c r="X110" s="93">
        <f t="shared" si="12"/>
        <v>0.31446484205570069</v>
      </c>
      <c r="Z110" s="143"/>
      <c r="AS110" s="19"/>
      <c r="AT110" s="19"/>
    </row>
    <row r="111" spans="1:46" x14ac:dyDescent="0.2">
      <c r="A111" s="121">
        <v>6355.36279296875</v>
      </c>
      <c r="B111" s="143">
        <v>0.91106796116504851</v>
      </c>
      <c r="C111" s="143">
        <f t="shared" si="1"/>
        <v>8.8932038834951488E-2</v>
      </c>
      <c r="D111" s="16">
        <f t="shared" si="2"/>
        <v>7.7669902912620437E-3</v>
      </c>
      <c r="E111" s="3">
        <f>(2*Table!$AC$16*0.147)/A111</f>
        <v>1.4421692081309058E-2</v>
      </c>
      <c r="F111" s="3">
        <f t="shared" si="3"/>
        <v>2.8843384162618117E-2</v>
      </c>
      <c r="G111" s="121">
        <f>IF((('Raw Data'!C111)/('Raw Data'!C$136)*100)&lt;0,0,('Raw Data'!C111)/('Raw Data'!C$136)*100)</f>
        <v>91.104486283724896</v>
      </c>
      <c r="H111" s="121">
        <f t="shared" si="4"/>
        <v>0.77690076124673624</v>
      </c>
      <c r="I111" s="118">
        <f t="shared" si="5"/>
        <v>3.9178186700432382E-2</v>
      </c>
      <c r="J111" s="3">
        <f>'Raw Data'!F111/I111</f>
        <v>0.19829931568480702</v>
      </c>
      <c r="K111" s="27">
        <f t="shared" si="6"/>
        <v>12.371309315293169</v>
      </c>
      <c r="L111" s="121">
        <f>A111*Table!$AC$9/$AC$16</f>
        <v>1427.017016031863</v>
      </c>
      <c r="M111" s="121">
        <f>A111*Table!$AD$9/$AC$16</f>
        <v>489.26297692521018</v>
      </c>
      <c r="N111" s="121">
        <f>ABS(A111*Table!$AE$9/$AC$16)</f>
        <v>617.91649375812949</v>
      </c>
      <c r="O111" s="121">
        <f>($L111*(Table!$AC$10/Table!$AC$9)/(Table!$AC$12-Table!$AC$14))</f>
        <v>3060.9545603429069</v>
      </c>
      <c r="P111" s="121">
        <f>ROUND(($N111*(Table!$AE$10/Table!$AE$9)/(Table!$AC$12-Table!$AC$13)),2)</f>
        <v>5073.21</v>
      </c>
      <c r="Q111" s="121">
        <f>'Raw Data'!C111</f>
        <v>1.407198821185728</v>
      </c>
      <c r="R111" s="121">
        <f>'Raw Data'!C111/'Raw Data'!I$30*100</f>
        <v>12.756504249191783</v>
      </c>
      <c r="S111" s="156">
        <f t="shared" si="7"/>
        <v>9.1954022988504691E-2</v>
      </c>
      <c r="T111" s="156">
        <f t="shared" si="8"/>
        <v>2.8307403138638776E-5</v>
      </c>
      <c r="U111" s="29">
        <f t="shared" si="9"/>
        <v>2.0072031549961131E-3</v>
      </c>
      <c r="V111" s="29">
        <f t="shared" si="10"/>
        <v>1.0956070957478851E-2</v>
      </c>
      <c r="W111" s="29">
        <f t="shared" si="11"/>
        <v>2.3906345113573564E-6</v>
      </c>
      <c r="X111" s="93">
        <f t="shared" si="12"/>
        <v>0.31446723269021204</v>
      </c>
      <c r="Z111" s="143"/>
      <c r="AS111" s="19"/>
      <c r="AT111" s="19"/>
    </row>
    <row r="112" spans="1:46" x14ac:dyDescent="0.2">
      <c r="A112" s="121">
        <v>6945.88232421875</v>
      </c>
      <c r="B112" s="143">
        <v>0.91838187702265384</v>
      </c>
      <c r="C112" s="143">
        <f t="shared" si="1"/>
        <v>8.1618122977346164E-2</v>
      </c>
      <c r="D112" s="16">
        <f t="shared" si="2"/>
        <v>7.3139158576053243E-3</v>
      </c>
      <c r="E112" s="3">
        <f>(2*Table!$AC$16*0.147)/A112</f>
        <v>1.3195600067341006E-2</v>
      </c>
      <c r="F112" s="3">
        <f t="shared" si="3"/>
        <v>2.6391200134682012E-2</v>
      </c>
      <c r="G112" s="121">
        <f>IF((('Raw Data'!C112)/('Raw Data'!C$136)*100)&lt;0,0,('Raw Data'!C112)/('Raw Data'!C$136)*100)</f>
        <v>91.836067833898909</v>
      </c>
      <c r="H112" s="121">
        <f t="shared" si="4"/>
        <v>0.73158155017401327</v>
      </c>
      <c r="I112" s="118">
        <f t="shared" si="5"/>
        <v>3.8587074205935323E-2</v>
      </c>
      <c r="J112" s="3">
        <f>'Raw Data'!F112/I112</f>
        <v>0.1895923868883253</v>
      </c>
      <c r="K112" s="27">
        <f t="shared" si="6"/>
        <v>13.520810927679184</v>
      </c>
      <c r="L112" s="121">
        <f>A112*Table!$AC$9/$AC$16</f>
        <v>1559.6107713915428</v>
      </c>
      <c r="M112" s="121">
        <f>A112*Table!$AD$9/$AC$16</f>
        <v>534.72369304852896</v>
      </c>
      <c r="N112" s="121">
        <f>ABS(A112*Table!$AE$9/$AC$16)</f>
        <v>675.33127402046034</v>
      </c>
      <c r="O112" s="121">
        <f>($L112*(Table!$AC$10/Table!$AC$9)/(Table!$AC$12-Table!$AC$14))</f>
        <v>3345.3684500033096</v>
      </c>
      <c r="P112" s="121">
        <f>ROUND(($N112*(Table!$AE$10/Table!$AE$9)/(Table!$AC$12-Table!$AC$13)),2)</f>
        <v>5544.59</v>
      </c>
      <c r="Q112" s="121">
        <f>'Raw Data'!C112</f>
        <v>1.4184988211857281</v>
      </c>
      <c r="R112" s="121">
        <f>'Raw Data'!C112/'Raw Data'!I$30*100</f>
        <v>12.858940732114931</v>
      </c>
      <c r="S112" s="156">
        <f t="shared" si="7"/>
        <v>8.6590038314178011E-2</v>
      </c>
      <c r="T112" s="156">
        <f t="shared" si="8"/>
        <v>2.231434430832735E-5</v>
      </c>
      <c r="U112" s="29">
        <f t="shared" si="9"/>
        <v>1.8513041442235003E-3</v>
      </c>
      <c r="V112" s="29">
        <f t="shared" si="10"/>
        <v>9.5560367304359795E-3</v>
      </c>
      <c r="W112" s="29">
        <f t="shared" si="11"/>
        <v>1.8846739759104529E-6</v>
      </c>
      <c r="X112" s="93">
        <f t="shared" si="12"/>
        <v>0.31446911736418798</v>
      </c>
      <c r="Z112" s="143"/>
      <c r="AS112" s="19"/>
      <c r="AT112" s="19"/>
    </row>
    <row r="113" spans="1:46" x14ac:dyDescent="0.2">
      <c r="A113" s="121">
        <v>7606.41748046875</v>
      </c>
      <c r="B113" s="143">
        <v>0.925242718446602</v>
      </c>
      <c r="C113" s="143">
        <f t="shared" si="1"/>
        <v>7.4757281553398003E-2</v>
      </c>
      <c r="D113" s="16">
        <f t="shared" si="2"/>
        <v>6.8608414239481608E-3</v>
      </c>
      <c r="E113" s="3">
        <f>(2*Table!$AC$16*0.147)/A113</f>
        <v>1.2049704805258117E-2</v>
      </c>
      <c r="F113" s="3">
        <f t="shared" si="3"/>
        <v>2.4099409610516234E-2</v>
      </c>
      <c r="G113" s="121">
        <f>IF((('Raw Data'!C113)/('Raw Data'!C$136)*100)&lt;0,0,('Raw Data'!C113)/('Raw Data'!C$136)*100)</f>
        <v>92.522330173000185</v>
      </c>
      <c r="H113" s="121">
        <f t="shared" si="4"/>
        <v>0.6862623391012761</v>
      </c>
      <c r="I113" s="118">
        <f t="shared" si="5"/>
        <v>3.9452736805749788E-2</v>
      </c>
      <c r="J113" s="3">
        <f>'Raw Data'!F113/I113</f>
        <v>0.17394543310903046</v>
      </c>
      <c r="K113" s="27">
        <f t="shared" si="6"/>
        <v>14.80660451614828</v>
      </c>
      <c r="L113" s="121">
        <f>A113*Table!$AC$9/$AC$16</f>
        <v>1707.9256573173084</v>
      </c>
      <c r="M113" s="121">
        <f>A113*Table!$AD$9/$AC$16</f>
        <v>585.57451108022008</v>
      </c>
      <c r="N113" s="121">
        <f>ABS(A113*Table!$AE$9/$AC$16)</f>
        <v>739.55350350601248</v>
      </c>
      <c r="O113" s="121">
        <f>($L113*(Table!$AC$10/Table!$AC$9)/(Table!$AC$12-Table!$AC$14))</f>
        <v>3663.5041984498253</v>
      </c>
      <c r="P113" s="121">
        <f>ROUND(($N113*(Table!$AE$10/Table!$AE$9)/(Table!$AC$12-Table!$AC$13)),2)</f>
        <v>6071.87</v>
      </c>
      <c r="Q113" s="121">
        <f>'Raw Data'!C113</f>
        <v>1.4290988211857281</v>
      </c>
      <c r="R113" s="121">
        <f>'Raw Data'!C113/'Raw Data'!I$30*100</f>
        <v>12.955031592202133</v>
      </c>
      <c r="S113" s="156">
        <f t="shared" si="7"/>
        <v>8.1226053639846071E-2</v>
      </c>
      <c r="T113" s="156">
        <f t="shared" si="8"/>
        <v>1.7626529041248062E-5</v>
      </c>
      <c r="U113" s="29">
        <f t="shared" si="9"/>
        <v>1.7031712531513285E-3</v>
      </c>
      <c r="V113" s="29">
        <f t="shared" si="10"/>
        <v>8.2990945396295961E-3</v>
      </c>
      <c r="W113" s="29">
        <f t="shared" si="11"/>
        <v>1.4742060253591082E-6</v>
      </c>
      <c r="X113" s="93">
        <f t="shared" si="12"/>
        <v>0.31447059157021334</v>
      </c>
      <c r="Z113" s="143"/>
      <c r="AS113" s="19"/>
      <c r="AT113" s="19"/>
    </row>
    <row r="114" spans="1:46" x14ac:dyDescent="0.2">
      <c r="A114" s="121">
        <v>8315.8310546875</v>
      </c>
      <c r="B114" s="143">
        <v>0.9319093851132686</v>
      </c>
      <c r="C114" s="143">
        <f t="shared" si="1"/>
        <v>6.8090614886731404E-2</v>
      </c>
      <c r="D114" s="16">
        <f t="shared" si="2"/>
        <v>6.6666666666665986E-3</v>
      </c>
      <c r="E114" s="3">
        <f>(2*Table!$AC$16*0.147)/A114</f>
        <v>1.1021758939359302E-2</v>
      </c>
      <c r="F114" s="3">
        <f t="shared" si="3"/>
        <v>2.2043517878718603E-2</v>
      </c>
      <c r="G114" s="121">
        <f>IF((('Raw Data'!C114)/('Raw Data'!C$136)*100)&lt;0,0,('Raw Data'!C114)/('Raw Data'!C$136)*100)</f>
        <v>93.189169993070294</v>
      </c>
      <c r="H114" s="121">
        <f t="shared" si="4"/>
        <v>0.66683982007010911</v>
      </c>
      <c r="I114" s="118">
        <f t="shared" si="5"/>
        <v>3.8725499465385615E-2</v>
      </c>
      <c r="J114" s="3">
        <f>'Raw Data'!F114/I114</f>
        <v>0.1721965705480846</v>
      </c>
      <c r="K114" s="27">
        <f t="shared" si="6"/>
        <v>16.187544526187924</v>
      </c>
      <c r="L114" s="121">
        <f>A114*Table!$AC$9/$AC$16</f>
        <v>1867.215579040447</v>
      </c>
      <c r="M114" s="121">
        <f>A114*Table!$AD$9/$AC$16</f>
        <v>640.18819852815318</v>
      </c>
      <c r="N114" s="121">
        <f>ABS(A114*Table!$AE$9/$AC$16)</f>
        <v>808.52806289554883</v>
      </c>
      <c r="O114" s="121">
        <f>($L114*(Table!$AC$10/Table!$AC$9)/(Table!$AC$12-Table!$AC$14))</f>
        <v>4005.1814222231819</v>
      </c>
      <c r="P114" s="121">
        <f>ROUND(($N114*(Table!$AE$10/Table!$AE$9)/(Table!$AC$12-Table!$AC$13)),2)</f>
        <v>6638.16</v>
      </c>
      <c r="Q114" s="121">
        <f>'Raw Data'!C114</f>
        <v>1.439398821185728</v>
      </c>
      <c r="R114" s="121">
        <f>'Raw Data'!C114/'Raw Data'!I$30*100</f>
        <v>13.048402899645357</v>
      </c>
      <c r="S114" s="156">
        <f t="shared" si="7"/>
        <v>7.8927203065133317E-2</v>
      </c>
      <c r="T114" s="156">
        <f t="shared" si="8"/>
        <v>1.3815424608210058E-5</v>
      </c>
      <c r="U114" s="29">
        <f t="shared" si="9"/>
        <v>1.5691038951891865E-3</v>
      </c>
      <c r="V114" s="29">
        <f t="shared" si="10"/>
        <v>7.2247017165357336E-3</v>
      </c>
      <c r="W114" s="29">
        <f t="shared" si="11"/>
        <v>1.1985013910044621E-6</v>
      </c>
      <c r="X114" s="93">
        <f t="shared" si="12"/>
        <v>0.31447179007160436</v>
      </c>
      <c r="Z114" s="143"/>
      <c r="AS114" s="19"/>
      <c r="AT114" s="19"/>
    </row>
    <row r="115" spans="1:46" x14ac:dyDescent="0.2">
      <c r="A115" s="121">
        <v>9096.13671875</v>
      </c>
      <c r="B115" s="143">
        <v>0.93864077669902912</v>
      </c>
      <c r="C115" s="143">
        <f t="shared" si="1"/>
        <v>6.1359223300970878E-2</v>
      </c>
      <c r="D115" s="16">
        <f t="shared" si="2"/>
        <v>6.7313915857605267E-3</v>
      </c>
      <c r="E115" s="3">
        <f>(2*Table!$AC$16*0.147)/A115</f>
        <v>1.0076265133116751E-2</v>
      </c>
      <c r="F115" s="3">
        <f t="shared" si="3"/>
        <v>2.0152530266233502E-2</v>
      </c>
      <c r="G115" s="121">
        <f>IF((('Raw Data'!C115)/('Raw Data'!C$136)*100)&lt;0,0,('Raw Data'!C115)/('Raw Data'!C$136)*100)</f>
        <v>93.862483986150806</v>
      </c>
      <c r="H115" s="121">
        <f t="shared" si="4"/>
        <v>0.67331399308051232</v>
      </c>
      <c r="I115" s="118">
        <f t="shared" si="5"/>
        <v>3.8951321781005799E-2</v>
      </c>
      <c r="J115" s="3">
        <f>'Raw Data'!F115/I115</f>
        <v>0.17286037091784617</v>
      </c>
      <c r="K115" s="27">
        <f t="shared" si="6"/>
        <v>17.706482633273243</v>
      </c>
      <c r="L115" s="121">
        <f>A115*Table!$AC$9/$AC$16</f>
        <v>2042.4234305190691</v>
      </c>
      <c r="M115" s="121">
        <f>A115*Table!$AD$9/$AC$16</f>
        <v>700.25946189225226</v>
      </c>
      <c r="N115" s="121">
        <f>ABS(A115*Table!$AE$9/$AC$16)</f>
        <v>884.39528805703765</v>
      </c>
      <c r="O115" s="121">
        <f>($L115*(Table!$AC$10/Table!$AC$9)/(Table!$AC$12-Table!$AC$14))</f>
        <v>4381.0026394660435</v>
      </c>
      <c r="P115" s="121">
        <f>ROUND(($N115*(Table!$AE$10/Table!$AE$9)/(Table!$AC$12-Table!$AC$13)),2)</f>
        <v>7261.05</v>
      </c>
      <c r="Q115" s="121">
        <f>'Raw Data'!C115</f>
        <v>1.449798821185728</v>
      </c>
      <c r="R115" s="121">
        <f>'Raw Data'!C115/'Raw Data'!I$30*100</f>
        <v>13.142680724636573</v>
      </c>
      <c r="S115" s="156">
        <f t="shared" si="7"/>
        <v>7.9693486590038443E-2</v>
      </c>
      <c r="T115" s="156">
        <f t="shared" si="8"/>
        <v>1.05992151806511E-5</v>
      </c>
      <c r="U115" s="29">
        <f t="shared" si="9"/>
        <v>1.4448640264548105E-3</v>
      </c>
      <c r="V115" s="29">
        <f t="shared" si="10"/>
        <v>6.2840598994707382E-3</v>
      </c>
      <c r="W115" s="29">
        <f t="shared" si="11"/>
        <v>1.0114211091396463E-6</v>
      </c>
      <c r="X115" s="93">
        <f t="shared" si="12"/>
        <v>0.31447280149271351</v>
      </c>
      <c r="Z115" s="143"/>
      <c r="AS115" s="19"/>
      <c r="AT115" s="19"/>
    </row>
    <row r="116" spans="1:46" x14ac:dyDescent="0.2">
      <c r="A116" s="121">
        <v>9956.1669921875</v>
      </c>
      <c r="B116" s="143">
        <v>0.94407766990291264</v>
      </c>
      <c r="C116" s="143">
        <f t="shared" si="1"/>
        <v>5.5922330097087358E-2</v>
      </c>
      <c r="D116" s="16">
        <f t="shared" si="2"/>
        <v>5.4368932038835194E-3</v>
      </c>
      <c r="E116" s="3">
        <f>(2*Table!$AC$16*0.147)/A116</f>
        <v>9.2058605824032903E-3</v>
      </c>
      <c r="F116" s="3">
        <f t="shared" si="3"/>
        <v>1.8411721164806581E-2</v>
      </c>
      <c r="G116" s="121">
        <f>IF((('Raw Data'!C116)/('Raw Data'!C$136)*100)&lt;0,0,('Raw Data'!C116)/('Raw Data'!C$136)*100)</f>
        <v>94.40631451902351</v>
      </c>
      <c r="H116" s="121">
        <f t="shared" si="4"/>
        <v>0.543830532872704</v>
      </c>
      <c r="I116" s="118">
        <f t="shared" si="5"/>
        <v>3.9235192948561926E-2</v>
      </c>
      <c r="J116" s="3">
        <f>'Raw Data'!F116/I116</f>
        <v>0.13860783954489159</v>
      </c>
      <c r="K116" s="27">
        <f t="shared" si="6"/>
        <v>19.380612164475256</v>
      </c>
      <c r="L116" s="121">
        <f>A116*Table!$AC$9/$AC$16</f>
        <v>2235.5324432501197</v>
      </c>
      <c r="M116" s="121">
        <f>A116*Table!$AD$9/$AC$16</f>
        <v>766.46826625718393</v>
      </c>
      <c r="N116" s="121">
        <f>ABS(A116*Table!$AE$9/$AC$16)</f>
        <v>968.01394341944899</v>
      </c>
      <c r="O116" s="121">
        <f>($L116*(Table!$AC$10/Table!$AC$9)/(Table!$AC$12-Table!$AC$14))</f>
        <v>4795.2218859933937</v>
      </c>
      <c r="P116" s="121">
        <f>ROUND(($N116*(Table!$AE$10/Table!$AE$9)/(Table!$AC$12-Table!$AC$13)),2)</f>
        <v>7947.57</v>
      </c>
      <c r="Q116" s="121">
        <f>'Raw Data'!C116</f>
        <v>1.458198821185728</v>
      </c>
      <c r="R116" s="121">
        <f>'Raw Data'!C116/'Raw Data'!I$30*100</f>
        <v>13.218828198667939</v>
      </c>
      <c r="S116" s="156">
        <f t="shared" si="7"/>
        <v>6.4367816091954327E-2</v>
      </c>
      <c r="T116" s="156">
        <f t="shared" si="8"/>
        <v>8.4309126258119704E-6</v>
      </c>
      <c r="U116" s="29">
        <f t="shared" si="9"/>
        <v>1.3277025394452116E-3</v>
      </c>
      <c r="V116" s="29">
        <f t="shared" si="10"/>
        <v>5.4467359859029967E-3</v>
      </c>
      <c r="W116" s="29">
        <f t="shared" si="11"/>
        <v>6.818794062511831E-7</v>
      </c>
      <c r="X116" s="93">
        <f t="shared" si="12"/>
        <v>0.31447348337211978</v>
      </c>
      <c r="Z116" s="143"/>
      <c r="AS116" s="19"/>
      <c r="AT116" s="19"/>
    </row>
    <row r="117" spans="1:46" x14ac:dyDescent="0.2">
      <c r="A117" s="121">
        <v>10896.220703125</v>
      </c>
      <c r="B117" s="143">
        <v>0.94970873786407772</v>
      </c>
      <c r="C117" s="143">
        <f t="shared" si="1"/>
        <v>5.0291262135922277E-2</v>
      </c>
      <c r="D117" s="16">
        <f t="shared" si="2"/>
        <v>5.6310679611650816E-3</v>
      </c>
      <c r="E117" s="3">
        <f>(2*Table!$AC$16*0.147)/A117</f>
        <v>8.4116399403434683E-3</v>
      </c>
      <c r="F117" s="3">
        <f t="shared" si="3"/>
        <v>1.6823279880686937E-2</v>
      </c>
      <c r="G117" s="121">
        <f>IF((('Raw Data'!C117)/('Raw Data'!C$136)*100)&lt;0,0,('Raw Data'!C117)/('Raw Data'!C$136)*100)</f>
        <v>94.96956757092741</v>
      </c>
      <c r="H117" s="121">
        <f t="shared" si="4"/>
        <v>0.5632530519038994</v>
      </c>
      <c r="I117" s="118">
        <f t="shared" si="5"/>
        <v>3.9183718993978989E-2</v>
      </c>
      <c r="J117" s="3">
        <f>'Raw Data'!F117/I117</f>
        <v>0.14374670561271616</v>
      </c>
      <c r="K117" s="27">
        <f t="shared" si="6"/>
        <v>21.210514816746105</v>
      </c>
      <c r="L117" s="121">
        <f>A117*Table!$AC$9/$AC$16</f>
        <v>2446.6097153416276</v>
      </c>
      <c r="M117" s="121">
        <f>A117*Table!$AD$9/$AC$16</f>
        <v>838.83761668855811</v>
      </c>
      <c r="N117" s="121">
        <f>ABS(A117*Table!$AE$9/$AC$16)</f>
        <v>1059.413083315832</v>
      </c>
      <c r="O117" s="121">
        <f>($L117*(Table!$AC$10/Table!$AC$9)/(Table!$AC$12-Table!$AC$14))</f>
        <v>5247.9830873908795</v>
      </c>
      <c r="P117" s="121">
        <f>ROUND(($N117*(Table!$AE$10/Table!$AE$9)/(Table!$AC$12-Table!$AC$13)),2)</f>
        <v>8697.9699999999993</v>
      </c>
      <c r="Q117" s="121">
        <f>'Raw Data'!C117</f>
        <v>1.4668988211857281</v>
      </c>
      <c r="R117" s="121">
        <f>'Raw Data'!C117/'Raw Data'!I$30*100</f>
        <v>13.297695225343286</v>
      </c>
      <c r="S117" s="156">
        <f t="shared" si="7"/>
        <v>6.6666666666667082E-2</v>
      </c>
      <c r="T117" s="156">
        <f t="shared" si="8"/>
        <v>6.5559508858337168E-6</v>
      </c>
      <c r="U117" s="29">
        <f t="shared" si="9"/>
        <v>1.2203951799112836E-3</v>
      </c>
      <c r="V117" s="29">
        <f t="shared" si="10"/>
        <v>4.7232965519076455E-3</v>
      </c>
      <c r="W117" s="29">
        <f t="shared" si="11"/>
        <v>5.8963072071651595E-7</v>
      </c>
      <c r="X117" s="93">
        <f t="shared" si="12"/>
        <v>0.31447407300284047</v>
      </c>
      <c r="Z117" s="143"/>
      <c r="AS117" s="19"/>
      <c r="AT117" s="19"/>
    </row>
    <row r="118" spans="1:46" x14ac:dyDescent="0.2">
      <c r="A118" s="121">
        <v>11895.4716796875</v>
      </c>
      <c r="B118" s="143">
        <v>0.9550161812297735</v>
      </c>
      <c r="C118" s="143">
        <f t="shared" si="1"/>
        <v>4.4983818770226502E-2</v>
      </c>
      <c r="D118" s="16">
        <f t="shared" si="2"/>
        <v>5.3074433656957742E-3</v>
      </c>
      <c r="E118" s="3">
        <f>(2*Table!$AC$16*0.147)/A118</f>
        <v>7.7050400129750436E-3</v>
      </c>
      <c r="F118" s="3">
        <f t="shared" si="3"/>
        <v>1.5410080025950087E-2</v>
      </c>
      <c r="G118" s="121">
        <f>IF((('Raw Data'!C118)/('Raw Data'!C$136)*100)&lt;0,0,('Raw Data'!C118)/('Raw Data'!C$136)*100)</f>
        <v>95.500449757779336</v>
      </c>
      <c r="H118" s="121">
        <f t="shared" si="4"/>
        <v>0.53088218685192601</v>
      </c>
      <c r="I118" s="118">
        <f t="shared" si="5"/>
        <v>3.8105776076242659E-2</v>
      </c>
      <c r="J118" s="3">
        <f>'Raw Data'!F118/I118</f>
        <v>0.13931803561479378</v>
      </c>
      <c r="K118" s="27">
        <f t="shared" si="6"/>
        <v>23.155650494655823</v>
      </c>
      <c r="L118" s="121">
        <f>A118*Table!$AC$9/$AC$16</f>
        <v>2670.9789910686941</v>
      </c>
      <c r="M118" s="121">
        <f>A118*Table!$AD$9/$AC$16</f>
        <v>915.76422550926657</v>
      </c>
      <c r="N118" s="121">
        <f>ABS(A118*Table!$AE$9/$AC$16)</f>
        <v>1156.5678296200092</v>
      </c>
      <c r="O118" s="121">
        <f>($L118*(Table!$AC$10/Table!$AC$9)/(Table!$AC$12-Table!$AC$14))</f>
        <v>5729.2556650980141</v>
      </c>
      <c r="P118" s="121">
        <f>ROUND(($N118*(Table!$AE$10/Table!$AE$9)/(Table!$AC$12-Table!$AC$13)),2)</f>
        <v>9495.6299999999992</v>
      </c>
      <c r="Q118" s="121">
        <f>'Raw Data'!C118</f>
        <v>1.4750988211857281</v>
      </c>
      <c r="R118" s="121">
        <f>'Raw Data'!C118/'Raw Data'!I$30*100</f>
        <v>13.372029664278667</v>
      </c>
      <c r="S118" s="156">
        <f t="shared" si="7"/>
        <v>6.2835249042145394E-2</v>
      </c>
      <c r="T118" s="156">
        <f t="shared" si="8"/>
        <v>5.0731751942700853E-6</v>
      </c>
      <c r="U118" s="29">
        <f t="shared" si="9"/>
        <v>1.1241277373735849E-3</v>
      </c>
      <c r="V118" s="29">
        <f t="shared" si="10"/>
        <v>4.1105712791936035E-3</v>
      </c>
      <c r="W118" s="29">
        <f t="shared" si="11"/>
        <v>4.662975681347504E-7</v>
      </c>
      <c r="X118" s="93">
        <f t="shared" si="12"/>
        <v>0.31447453930040858</v>
      </c>
      <c r="Z118" s="143"/>
      <c r="AS118" s="19"/>
      <c r="AT118" s="19"/>
    </row>
    <row r="119" spans="1:46" x14ac:dyDescent="0.2">
      <c r="A119" s="121">
        <v>12996.0126953125</v>
      </c>
      <c r="B119" s="143">
        <v>0.95974110032362459</v>
      </c>
      <c r="C119" s="143">
        <f t="shared" si="1"/>
        <v>4.0258899676375415E-2</v>
      </c>
      <c r="D119" s="16">
        <f t="shared" si="2"/>
        <v>4.7249190938510877E-3</v>
      </c>
      <c r="E119" s="3">
        <f>(2*Table!$AC$16*0.147)/A119</f>
        <v>7.0525543036952009E-3</v>
      </c>
      <c r="F119" s="3">
        <f t="shared" si="3"/>
        <v>1.4105108607390402E-2</v>
      </c>
      <c r="G119" s="121">
        <f>IF((('Raw Data'!C119)/('Raw Data'!C$136)*100)&lt;0,0,('Raw Data'!C119)/('Raw Data'!C$136)*100)</f>
        <v>95.973064387537761</v>
      </c>
      <c r="H119" s="121">
        <f t="shared" si="4"/>
        <v>0.47261462975842505</v>
      </c>
      <c r="I119" s="118">
        <f t="shared" si="5"/>
        <v>3.8428459543245808E-2</v>
      </c>
      <c r="J119" s="3">
        <f>'Raw Data'!F119/I119</f>
        <v>0.12298557771397697</v>
      </c>
      <c r="K119" s="27">
        <f t="shared" si="6"/>
        <v>25.297956726729129</v>
      </c>
      <c r="L119" s="121">
        <f>A119*Table!$AC$9/$AC$16</f>
        <v>2918.0916748442569</v>
      </c>
      <c r="M119" s="121">
        <f>A119*Table!$AD$9/$AC$16</f>
        <v>1000.4885742323166</v>
      </c>
      <c r="N119" s="121">
        <f>ABS(A119*Table!$AE$9/$AC$16)</f>
        <v>1263.5707604935033</v>
      </c>
      <c r="O119" s="121">
        <f>($L119*(Table!$AC$10/Table!$AC$9)/(Table!$AC$12-Table!$AC$14))</f>
        <v>6259.3129018538339</v>
      </c>
      <c r="P119" s="121">
        <f>ROUND(($N119*(Table!$AE$10/Table!$AE$9)/(Table!$AC$12-Table!$AC$13)),2)</f>
        <v>10374.14</v>
      </c>
      <c r="Q119" s="121">
        <f>'Raw Data'!C119</f>
        <v>1.482398821185728</v>
      </c>
      <c r="R119" s="121">
        <f>'Raw Data'!C119/'Raw Data'!I$30*100</f>
        <v>13.438205445282117</v>
      </c>
      <c r="S119" s="156">
        <f t="shared" si="7"/>
        <v>5.5938697318007151E-2</v>
      </c>
      <c r="T119" s="156">
        <f t="shared" si="8"/>
        <v>3.967245430613886E-6</v>
      </c>
      <c r="U119" s="29">
        <f t="shared" si="9"/>
        <v>1.0340252630046376E-3</v>
      </c>
      <c r="V119" s="29">
        <f t="shared" si="10"/>
        <v>3.5689878493321173E-3</v>
      </c>
      <c r="W119" s="29">
        <f t="shared" si="11"/>
        <v>3.4778851734478491E-7</v>
      </c>
      <c r="X119" s="93">
        <f t="shared" si="12"/>
        <v>0.3144748870889259</v>
      </c>
      <c r="Z119" s="143"/>
      <c r="AS119" s="19"/>
      <c r="AT119" s="19"/>
    </row>
    <row r="120" spans="1:46" x14ac:dyDescent="0.2">
      <c r="A120" s="121">
        <v>14293.4814453125</v>
      </c>
      <c r="B120" s="143">
        <v>0.9645307443365696</v>
      </c>
      <c r="C120" s="143">
        <f t="shared" si="1"/>
        <v>3.5469255663430399E-2</v>
      </c>
      <c r="D120" s="16">
        <f t="shared" si="2"/>
        <v>4.7896440129450157E-3</v>
      </c>
      <c r="E120" s="3">
        <f>(2*Table!$AC$16*0.147)/A120</f>
        <v>6.412369555722313E-3</v>
      </c>
      <c r="F120" s="3">
        <f t="shared" si="3"/>
        <v>1.2824739111444626E-2</v>
      </c>
      <c r="G120" s="121">
        <f>IF((('Raw Data'!C120)/('Raw Data'!C$136)*100)&lt;0,0,('Raw Data'!C120)/('Raw Data'!C$136)*100)</f>
        <v>96.452153190306589</v>
      </c>
      <c r="H120" s="121">
        <f t="shared" si="4"/>
        <v>0.47908880276882826</v>
      </c>
      <c r="I120" s="118">
        <f t="shared" si="5"/>
        <v>4.1327895317665231E-2</v>
      </c>
      <c r="J120" s="3">
        <f>'Raw Data'!F120/I120</f>
        <v>0.11592383282195386</v>
      </c>
      <c r="K120" s="27">
        <f t="shared" si="6"/>
        <v>27.823601250269974</v>
      </c>
      <c r="L120" s="121">
        <f>A120*Table!$AC$9/$AC$16</f>
        <v>3209.4220118107014</v>
      </c>
      <c r="M120" s="121">
        <f>A120*Table!$AD$9/$AC$16</f>
        <v>1100.3732611922405</v>
      </c>
      <c r="N120" s="121">
        <f>ABS(A120*Table!$AE$9/$AC$16)</f>
        <v>1389.7204968465142</v>
      </c>
      <c r="O120" s="121">
        <f>($L120*(Table!$AC$10/Table!$AC$9)/(Table!$AC$12-Table!$AC$14))</f>
        <v>6884.217099551056</v>
      </c>
      <c r="P120" s="121">
        <f>ROUND(($N120*(Table!$AE$10/Table!$AE$9)/(Table!$AC$12-Table!$AC$13)),2)</f>
        <v>11409.86</v>
      </c>
      <c r="Q120" s="121">
        <f>'Raw Data'!C120</f>
        <v>1.489798821185728</v>
      </c>
      <c r="R120" s="121">
        <f>'Raw Data'!C120/'Raw Data'!I$30*100</f>
        <v>13.505287743833561</v>
      </c>
      <c r="S120" s="156">
        <f t="shared" si="7"/>
        <v>5.6704980842912277E-2</v>
      </c>
      <c r="T120" s="156">
        <f t="shared" si="8"/>
        <v>3.0404569751896204E-6</v>
      </c>
      <c r="U120" s="29">
        <f t="shared" si="9"/>
        <v>9.4485642252416929E-4</v>
      </c>
      <c r="V120" s="29">
        <f t="shared" si="10"/>
        <v>3.0641956831865226E-3</v>
      </c>
      <c r="W120" s="29">
        <f t="shared" si="11"/>
        <v>2.9145285111278212E-7</v>
      </c>
      <c r="X120" s="93">
        <f t="shared" si="12"/>
        <v>0.31447517854177703</v>
      </c>
      <c r="Z120" s="143"/>
      <c r="AS120" s="19"/>
      <c r="AT120" s="19"/>
    </row>
    <row r="121" spans="1:46" x14ac:dyDescent="0.2">
      <c r="A121" s="121">
        <v>15595.234375</v>
      </c>
      <c r="B121" s="143">
        <v>0.96906148867313924</v>
      </c>
      <c r="C121" s="143">
        <f t="shared" si="1"/>
        <v>3.0938511326860763E-2</v>
      </c>
      <c r="D121" s="16">
        <f t="shared" si="2"/>
        <v>4.5307443365696365E-3</v>
      </c>
      <c r="E121" s="3">
        <f>(2*Table!$AC$16*0.147)/A121</f>
        <v>5.8771213731889579E-3</v>
      </c>
      <c r="F121" s="3">
        <f t="shared" si="3"/>
        <v>1.1754242746377916E-2</v>
      </c>
      <c r="G121" s="121">
        <f>IF((('Raw Data'!C121)/('Raw Data'!C$136)*100)&lt;0,0,('Raw Data'!C121)/('Raw Data'!C$136)*100)</f>
        <v>96.905345301033847</v>
      </c>
      <c r="H121" s="121">
        <f t="shared" si="4"/>
        <v>0.45319211072725807</v>
      </c>
      <c r="I121" s="118">
        <f t="shared" si="5"/>
        <v>3.7853883756441942E-2</v>
      </c>
      <c r="J121" s="3">
        <f>'Raw Data'!F121/I121</f>
        <v>0.11972143034072141</v>
      </c>
      <c r="K121" s="27">
        <f t="shared" si="6"/>
        <v>30.357585331095422</v>
      </c>
      <c r="L121" s="121">
        <f>A121*Table!$AC$9/$AC$16</f>
        <v>3501.7143076004199</v>
      </c>
      <c r="M121" s="121">
        <f>A121*Table!$AD$9/$AC$16</f>
        <v>1200.5877626058582</v>
      </c>
      <c r="N121" s="121">
        <f>ABS(A121*Table!$AE$9/$AC$16)</f>
        <v>1516.2867735886998</v>
      </c>
      <c r="O121" s="121">
        <f>($L121*(Table!$AC$10/Table!$AC$9)/(Table!$AC$12-Table!$AC$14))</f>
        <v>7511.1847009876028</v>
      </c>
      <c r="P121" s="121">
        <f>ROUND(($N121*(Table!$AE$10/Table!$AE$9)/(Table!$AC$12-Table!$AC$13)),2)</f>
        <v>12448.99</v>
      </c>
      <c r="Q121" s="121">
        <f>'Raw Data'!C121</f>
        <v>1.4967988211857282</v>
      </c>
      <c r="R121" s="121">
        <f>'Raw Data'!C121/'Raw Data'!I$30*100</f>
        <v>13.568743972193035</v>
      </c>
      <c r="S121" s="156">
        <f t="shared" si="7"/>
        <v>5.3639846743295715E-2</v>
      </c>
      <c r="T121" s="156">
        <f t="shared" si="8"/>
        <v>2.3040139249808078E-6</v>
      </c>
      <c r="U121" s="29">
        <f t="shared" si="9"/>
        <v>8.7005707294431317E-4</v>
      </c>
      <c r="V121" s="29">
        <f t="shared" si="10"/>
        <v>2.6653124454089155E-3</v>
      </c>
      <c r="W121" s="29">
        <f t="shared" si="11"/>
        <v>2.3159376383751377E-7</v>
      </c>
      <c r="X121" s="93">
        <f t="shared" si="12"/>
        <v>0.31447541013554087</v>
      </c>
      <c r="Z121" s="143"/>
      <c r="AS121" s="19"/>
      <c r="AT121" s="19"/>
    </row>
    <row r="122" spans="1:46" x14ac:dyDescent="0.2">
      <c r="A122" s="121">
        <v>17094.541015625</v>
      </c>
      <c r="B122" s="143">
        <v>0.97326860841423957</v>
      </c>
      <c r="C122" s="143">
        <f t="shared" si="1"/>
        <v>2.6731391585760433E-2</v>
      </c>
      <c r="D122" s="16">
        <f t="shared" si="2"/>
        <v>4.2071197411003292E-3</v>
      </c>
      <c r="E122" s="3">
        <f>(2*Table!$AC$16*0.147)/A122</f>
        <v>5.3616581563335174E-3</v>
      </c>
      <c r="F122" s="3">
        <f t="shared" si="3"/>
        <v>1.0723316312667035E-2</v>
      </c>
      <c r="G122" s="121">
        <f>IF((('Raw Data'!C122)/('Raw Data'!C$136)*100)&lt;0,0,('Raw Data'!C122)/('Raw Data'!C$136)*100)</f>
        <v>97.326166546709175</v>
      </c>
      <c r="H122" s="121">
        <f t="shared" si="4"/>
        <v>0.4208212456753273</v>
      </c>
      <c r="I122" s="118">
        <f t="shared" si="5"/>
        <v>3.9865538592152028E-2</v>
      </c>
      <c r="J122" s="3">
        <f>'Raw Data'!F122/I122</f>
        <v>0.10556015559718571</v>
      </c>
      <c r="K122" s="27">
        <f t="shared" si="6"/>
        <v>33.276126225435227</v>
      </c>
      <c r="L122" s="121">
        <f>A122*Table!$AC$9/$AC$16</f>
        <v>3838.3648117680996</v>
      </c>
      <c r="M122" s="121">
        <f>A122*Table!$AD$9/$AC$16</f>
        <v>1316.0107926062055</v>
      </c>
      <c r="N122" s="121">
        <f>ABS(A122*Table!$AE$9/$AC$16)</f>
        <v>1662.0607179917249</v>
      </c>
      <c r="O122" s="121">
        <f>($L122*(Table!$AC$10/Table!$AC$9)/(Table!$AC$12-Table!$AC$14))</f>
        <v>8233.3007545433284</v>
      </c>
      <c r="P122" s="121">
        <f>ROUND(($N122*(Table!$AE$10/Table!$AE$9)/(Table!$AC$12-Table!$AC$13)),2)</f>
        <v>13645.82</v>
      </c>
      <c r="Q122" s="121">
        <f>'Raw Data'!C122</f>
        <v>1.5032988211857281</v>
      </c>
      <c r="R122" s="121">
        <f>'Raw Data'!C122/'Raw Data'!I$30*100</f>
        <v>13.627667612812544</v>
      </c>
      <c r="S122" s="156">
        <f t="shared" si="7"/>
        <v>4.9808429118774034E-2</v>
      </c>
      <c r="T122" s="156">
        <f t="shared" si="8"/>
        <v>1.7348682924689385E-6</v>
      </c>
      <c r="U122" s="29">
        <f t="shared" si="9"/>
        <v>7.9719412181680608E-4</v>
      </c>
      <c r="V122" s="29">
        <f t="shared" si="10"/>
        <v>2.2988877604056463E-3</v>
      </c>
      <c r="W122" s="29">
        <f t="shared" si="11"/>
        <v>1.789827185871222E-7</v>
      </c>
      <c r="X122" s="93">
        <f t="shared" si="12"/>
        <v>0.31447558911825946</v>
      </c>
      <c r="Z122" s="143"/>
      <c r="AS122" s="19"/>
      <c r="AT122" s="19"/>
    </row>
    <row r="123" spans="1:46" x14ac:dyDescent="0.2">
      <c r="A123" s="121">
        <v>18694.4296875</v>
      </c>
      <c r="B123" s="143">
        <v>0.97715210355987059</v>
      </c>
      <c r="C123" s="143">
        <f t="shared" si="1"/>
        <v>2.2847896440129412E-2</v>
      </c>
      <c r="D123" s="16">
        <f t="shared" si="2"/>
        <v>3.8834951456310218E-3</v>
      </c>
      <c r="E123" s="3">
        <f>(2*Table!$AC$16*0.147)/A123</f>
        <v>4.9028018932553291E-3</v>
      </c>
      <c r="F123" s="3">
        <f t="shared" si="3"/>
        <v>9.8056037865106582E-3</v>
      </c>
      <c r="G123" s="121">
        <f>IF((('Raw Data'!C123)/('Raw Data'!C$136)*100)&lt;0,0,('Raw Data'!C123)/('Raw Data'!C$136)*100)</f>
        <v>97.714616927332528</v>
      </c>
      <c r="H123" s="121">
        <f t="shared" si="4"/>
        <v>0.38845038062335391</v>
      </c>
      <c r="I123" s="118">
        <f t="shared" si="5"/>
        <v>3.8854776049705109E-2</v>
      </c>
      <c r="J123" s="3">
        <f>'Raw Data'!F123/I123</f>
        <v>9.9974937476524223E-2</v>
      </c>
      <c r="K123" s="27">
        <f t="shared" si="6"/>
        <v>36.390459470375525</v>
      </c>
      <c r="L123" s="121">
        <f>A123*Table!$AC$9/$AC$16</f>
        <v>4197.5997497087183</v>
      </c>
      <c r="M123" s="121">
        <f>A123*Table!$AD$9/$AC$16</f>
        <v>1439.177057042989</v>
      </c>
      <c r="N123" s="121">
        <f>ABS(A123*Table!$AE$9/$AC$16)</f>
        <v>1817.6140090834758</v>
      </c>
      <c r="O123" s="121">
        <f>($L123*(Table!$AC$10/Table!$AC$9)/(Table!$AC$12-Table!$AC$14))</f>
        <v>9003.8604669856686</v>
      </c>
      <c r="P123" s="121">
        <f>ROUND(($N123*(Table!$AE$10/Table!$AE$9)/(Table!$AC$12-Table!$AC$13)),2)</f>
        <v>14922.94</v>
      </c>
      <c r="Q123" s="121">
        <f>'Raw Data'!C123</f>
        <v>1.5092988211857281</v>
      </c>
      <c r="R123" s="121">
        <f>'Raw Data'!C123/'Raw Data'!I$30*100</f>
        <v>13.682058665692093</v>
      </c>
      <c r="S123" s="156">
        <f t="shared" si="7"/>
        <v>4.5977011494252346E-2</v>
      </c>
      <c r="T123" s="156">
        <f t="shared" si="8"/>
        <v>1.2955778555534536E-6</v>
      </c>
      <c r="U123" s="29">
        <f t="shared" si="9"/>
        <v>7.3187890159818992E-4</v>
      </c>
      <c r="V123" s="29">
        <f t="shared" si="10"/>
        <v>1.9894802381804789E-3</v>
      </c>
      <c r="W123" s="29">
        <f t="shared" si="11"/>
        <v>1.3814635864659634E-7</v>
      </c>
      <c r="X123" s="93">
        <f t="shared" si="12"/>
        <v>0.31447572726461809</v>
      </c>
      <c r="Z123" s="143"/>
      <c r="AS123" s="19"/>
      <c r="AT123" s="19"/>
    </row>
    <row r="124" spans="1:46" x14ac:dyDescent="0.2">
      <c r="A124" s="121">
        <v>20394.126953125</v>
      </c>
      <c r="B124" s="143">
        <v>0.98058252427184467</v>
      </c>
      <c r="C124" s="143">
        <f t="shared" si="1"/>
        <v>1.9417475728155331E-2</v>
      </c>
      <c r="D124" s="16">
        <f t="shared" si="2"/>
        <v>3.4304207119740804E-3</v>
      </c>
      <c r="E124" s="3">
        <f>(2*Table!$AC$16*0.147)/A124</f>
        <v>4.4941901889631658E-3</v>
      </c>
      <c r="F124" s="3">
        <f t="shared" si="3"/>
        <v>8.9883803779263315E-3</v>
      </c>
      <c r="G124" s="121">
        <f>IF((('Raw Data'!C124)/('Raw Data'!C$136)*100)&lt;0,0,('Raw Data'!C124)/('Raw Data'!C$136)*100)</f>
        <v>98.057748096883174</v>
      </c>
      <c r="H124" s="121">
        <f t="shared" si="4"/>
        <v>0.34313116955064515</v>
      </c>
      <c r="I124" s="118">
        <f t="shared" si="5"/>
        <v>3.7792897816609106E-2</v>
      </c>
      <c r="J124" s="3">
        <f>'Raw Data'!F124/I124</f>
        <v>9.0792500542215229E-2</v>
      </c>
      <c r="K124" s="27">
        <f t="shared" si="6"/>
        <v>39.699079497334274</v>
      </c>
      <c r="L124" s="121">
        <f>A124*Table!$AC$9/$AC$16</f>
        <v>4579.2454557309065</v>
      </c>
      <c r="M124" s="121">
        <f>A124*Table!$AD$9/$AC$16</f>
        <v>1570.0270133934534</v>
      </c>
      <c r="N124" s="121">
        <f>ABS(A124*Table!$AE$9/$AC$16)</f>
        <v>1982.8714474137071</v>
      </c>
      <c r="O124" s="121">
        <f>($L124*(Table!$AC$10/Table!$AC$9)/(Table!$AC$12-Table!$AC$14))</f>
        <v>9822.4913250341215</v>
      </c>
      <c r="P124" s="121">
        <f>ROUND(($N124*(Table!$AE$10/Table!$AE$9)/(Table!$AC$12-Table!$AC$13)),2)</f>
        <v>16279.73</v>
      </c>
      <c r="Q124" s="121">
        <f>'Raw Data'!C124</f>
        <v>1.514598821185728</v>
      </c>
      <c r="R124" s="121">
        <f>'Raw Data'!C124/'Raw Data'!I$30*100</f>
        <v>13.730104095735692</v>
      </c>
      <c r="S124" s="156">
        <f t="shared" si="7"/>
        <v>4.0613026819923036E-2</v>
      </c>
      <c r="T124" s="156">
        <f t="shared" si="8"/>
        <v>9.6952307448994191E-7</v>
      </c>
      <c r="U124" s="29">
        <f t="shared" si="9"/>
        <v>6.7323813994557015E-4</v>
      </c>
      <c r="V124" s="29">
        <f t="shared" si="10"/>
        <v>1.7274527878282748E-3</v>
      </c>
      <c r="W124" s="29">
        <f t="shared" si="11"/>
        <v>1.0253644723106784E-7</v>
      </c>
      <c r="X124" s="93">
        <f t="shared" si="12"/>
        <v>0.31447582980106531</v>
      </c>
      <c r="Z124" s="143"/>
      <c r="AS124" s="19"/>
      <c r="AT124" s="19"/>
    </row>
    <row r="125" spans="1:46" x14ac:dyDescent="0.2">
      <c r="A125" s="121">
        <v>22295.181640625</v>
      </c>
      <c r="B125" s="143">
        <v>0.98446601941747569</v>
      </c>
      <c r="C125" s="143">
        <f t="shared" si="1"/>
        <v>1.5533980582524309E-2</v>
      </c>
      <c r="D125" s="16">
        <f t="shared" si="2"/>
        <v>3.8834951456310218E-3</v>
      </c>
      <c r="E125" s="3">
        <f>(2*Table!$AC$16*0.147)/A125</f>
        <v>4.1109817691816876E-3</v>
      </c>
      <c r="F125" s="3">
        <f t="shared" si="3"/>
        <v>8.2219635383633752E-3</v>
      </c>
      <c r="G125" s="121">
        <f>IF((('Raw Data'!C125)/('Raw Data'!C$136)*100)&lt;0,0,('Raw Data'!C125)/('Raw Data'!C$136)*100)</f>
        <v>98.446198477506528</v>
      </c>
      <c r="H125" s="121">
        <f t="shared" si="4"/>
        <v>0.38845038062335391</v>
      </c>
      <c r="I125" s="118">
        <f t="shared" si="5"/>
        <v>3.8705896480306201E-2</v>
      </c>
      <c r="J125" s="3">
        <f>'Raw Data'!F125/I125</f>
        <v>0.10035948419926351</v>
      </c>
      <c r="K125" s="27">
        <f t="shared" si="6"/>
        <v>43.399660617639505</v>
      </c>
      <c r="L125" s="121">
        <f>A125*Table!$AC$9/$AC$16</f>
        <v>5006.1034457218129</v>
      </c>
      <c r="M125" s="121">
        <f>A125*Table!$AD$9/$AC$16</f>
        <v>1716.3783242474788</v>
      </c>
      <c r="N125" s="121">
        <f>ABS(A125*Table!$AE$9/$AC$16)</f>
        <v>2167.7063789839513</v>
      </c>
      <c r="O125" s="121">
        <f>($L125*(Table!$AC$10/Table!$AC$9)/(Table!$AC$12-Table!$AC$14))</f>
        <v>10738.102629175919</v>
      </c>
      <c r="P125" s="121">
        <f>ROUND(($N125*(Table!$AE$10/Table!$AE$9)/(Table!$AC$12-Table!$AC$13)),2)</f>
        <v>17797.259999999998</v>
      </c>
      <c r="Q125" s="121">
        <f>'Raw Data'!C125</f>
        <v>1.520598821185728</v>
      </c>
      <c r="R125" s="121">
        <f>'Raw Data'!C125/'Raw Data'!I$30*100</f>
        <v>13.784495148615242</v>
      </c>
      <c r="S125" s="156">
        <f t="shared" si="7"/>
        <v>4.5977011494252346E-2</v>
      </c>
      <c r="T125" s="156">
        <f t="shared" si="8"/>
        <v>6.6066841297729439E-7</v>
      </c>
      <c r="U125" s="29">
        <f t="shared" si="9"/>
        <v>6.1827238597141217E-4</v>
      </c>
      <c r="V125" s="29">
        <f t="shared" si="10"/>
        <v>1.4957465918443457E-3</v>
      </c>
      <c r="W125" s="29">
        <f t="shared" si="11"/>
        <v>9.7127420152551741E-8</v>
      </c>
      <c r="X125" s="93">
        <f t="shared" si="12"/>
        <v>0.31447592692848547</v>
      </c>
      <c r="Z125" s="143"/>
      <c r="AS125" s="19"/>
      <c r="AT125" s="19"/>
    </row>
    <row r="126" spans="1:46" x14ac:dyDescent="0.2">
      <c r="A126" s="121">
        <v>24395.56640625</v>
      </c>
      <c r="B126" s="143">
        <v>0.9876375404530745</v>
      </c>
      <c r="C126" s="143">
        <f t="shared" si="1"/>
        <v>1.2362459546925497E-2</v>
      </c>
      <c r="D126" s="16">
        <f t="shared" si="2"/>
        <v>3.1715210355988122E-3</v>
      </c>
      <c r="E126" s="3">
        <f>(2*Table!$AC$16*0.147)/A126</f>
        <v>3.757038624924984E-3</v>
      </c>
      <c r="F126" s="3">
        <f t="shared" si="3"/>
        <v>7.5140772498499681E-3</v>
      </c>
      <c r="G126" s="121">
        <f>IF((('Raw Data'!C126)/('Raw Data'!C$136)*100)&lt;0,0,('Raw Data'!C126)/('Raw Data'!C$136)*100)</f>
        <v>98.763432955015617</v>
      </c>
      <c r="H126" s="121">
        <f t="shared" si="4"/>
        <v>0.31723447750908917</v>
      </c>
      <c r="I126" s="118">
        <f t="shared" si="5"/>
        <v>3.9099890904548129E-2</v>
      </c>
      <c r="J126" s="3">
        <f>'Raw Data'!F126/I126</f>
        <v>8.1134363848617913E-2</v>
      </c>
      <c r="K126" s="27">
        <f t="shared" si="6"/>
        <v>47.488256416674673</v>
      </c>
      <c r="L126" s="121">
        <f>A126*Table!$AC$9/$AC$16</f>
        <v>5477.7185050661847</v>
      </c>
      <c r="M126" s="121">
        <f>A126*Table!$AD$9/$AC$16</f>
        <v>1878.0749160226919</v>
      </c>
      <c r="N126" s="121">
        <f>ABS(A126*Table!$AE$9/$AC$16)</f>
        <v>2371.9216900837173</v>
      </c>
      <c r="O126" s="121">
        <f>($L126*(Table!$AC$10/Table!$AC$9)/(Table!$AC$12-Table!$AC$14))</f>
        <v>11749.717943084912</v>
      </c>
      <c r="P126" s="121">
        <f>ROUND(($N126*(Table!$AE$10/Table!$AE$9)/(Table!$AC$12-Table!$AC$13)),2)</f>
        <v>19473.91</v>
      </c>
      <c r="Q126" s="121">
        <f>'Raw Data'!C126</f>
        <v>1.5254988211857281</v>
      </c>
      <c r="R126" s="121">
        <f>'Raw Data'!C126/'Raw Data'!I$30*100</f>
        <v>13.828914508466871</v>
      </c>
      <c r="S126" s="156">
        <f t="shared" si="7"/>
        <v>3.7547892720307792E-2</v>
      </c>
      <c r="T126" s="156">
        <f t="shared" si="8"/>
        <v>4.5000010440165994E-7</v>
      </c>
      <c r="U126" s="29">
        <f t="shared" si="9"/>
        <v>5.6686179276099877E-4</v>
      </c>
      <c r="V126" s="29">
        <f t="shared" si="10"/>
        <v>1.2915249997574123E-3</v>
      </c>
      <c r="W126" s="29">
        <f t="shared" si="11"/>
        <v>6.6250155385991969E-8</v>
      </c>
      <c r="X126" s="93">
        <f t="shared" si="12"/>
        <v>0.31447599317864083</v>
      </c>
      <c r="Z126" s="143"/>
      <c r="AS126" s="19"/>
      <c r="AT126" s="19"/>
    </row>
    <row r="127" spans="1:46" x14ac:dyDescent="0.2">
      <c r="A127" s="121">
        <v>26696.28125</v>
      </c>
      <c r="B127" s="143">
        <v>0.98996763754045314</v>
      </c>
      <c r="C127" s="143">
        <f t="shared" si="1"/>
        <v>1.0032362459546862E-2</v>
      </c>
      <c r="D127" s="16">
        <f t="shared" si="2"/>
        <v>2.3300970873786353E-3</v>
      </c>
      <c r="E127" s="3">
        <f>(2*Table!$AC$16*0.147)/A127</f>
        <v>3.4332529091557888E-3</v>
      </c>
      <c r="F127" s="3">
        <f t="shared" si="3"/>
        <v>6.8665058183115775E-3</v>
      </c>
      <c r="G127" s="121">
        <f>IF((('Raw Data'!C127)/('Raw Data'!C$136)*100)&lt;0,0,('Raw Data'!C127)/('Raw Data'!C$136)*100)</f>
        <v>98.996503183389649</v>
      </c>
      <c r="H127" s="121">
        <f t="shared" si="4"/>
        <v>0.23307022837403224</v>
      </c>
      <c r="I127" s="118">
        <f t="shared" si="5"/>
        <v>3.9139863202882541E-2</v>
      </c>
      <c r="J127" s="3">
        <f>'Raw Data'!F127/I127</f>
        <v>5.9548043682704471E-2</v>
      </c>
      <c r="K127" s="27">
        <f t="shared" si="6"/>
        <v>51.966813488162003</v>
      </c>
      <c r="L127" s="121">
        <f>A127*Table!$AC$9/$AC$16</f>
        <v>5994.3151712235695</v>
      </c>
      <c r="M127" s="121">
        <f>A127*Table!$AD$9/$AC$16</f>
        <v>2055.1937729909382</v>
      </c>
      <c r="N127" s="121">
        <f>ABS(A127*Table!$AE$9/$AC$16)</f>
        <v>2595.6146082850391</v>
      </c>
      <c r="O127" s="121">
        <f>($L127*(Table!$AC$10/Table!$AC$9)/(Table!$AC$12-Table!$AC$14))</f>
        <v>12857.818900093458</v>
      </c>
      <c r="P127" s="121">
        <f>ROUND(($N127*(Table!$AE$10/Table!$AE$9)/(Table!$AC$12-Table!$AC$13)),2)</f>
        <v>21310.46</v>
      </c>
      <c r="Q127" s="121">
        <f>'Raw Data'!C127</f>
        <v>1.5290988211857282</v>
      </c>
      <c r="R127" s="121">
        <f>'Raw Data'!C127/'Raw Data'!I$30*100</f>
        <v>13.861549140194601</v>
      </c>
      <c r="S127" s="156">
        <f t="shared" si="7"/>
        <v>2.7586206896551668E-2</v>
      </c>
      <c r="T127" s="156">
        <f t="shared" si="8"/>
        <v>3.2075148792554131E-7</v>
      </c>
      <c r="U127" s="29">
        <f t="shared" si="9"/>
        <v>5.1923146187990508E-4</v>
      </c>
      <c r="V127" s="29">
        <f t="shared" si="10"/>
        <v>1.1133926409126235E-3</v>
      </c>
      <c r="W127" s="29">
        <f t="shared" si="11"/>
        <v>4.0645605304229871E-8</v>
      </c>
      <c r="X127" s="93">
        <f t="shared" si="12"/>
        <v>0.31447603382424616</v>
      </c>
      <c r="Z127" s="143"/>
      <c r="AS127" s="19"/>
      <c r="AT127" s="19"/>
    </row>
    <row r="128" spans="1:46" x14ac:dyDescent="0.2">
      <c r="A128" s="121">
        <v>29295.875</v>
      </c>
      <c r="B128" s="143">
        <v>0.99236245954692559</v>
      </c>
      <c r="C128" s="143">
        <f t="shared" si="1"/>
        <v>7.6375404530744095E-3</v>
      </c>
      <c r="D128" s="16">
        <f t="shared" si="2"/>
        <v>2.3948220064724524E-3</v>
      </c>
      <c r="E128" s="3">
        <f>(2*Table!$AC$16*0.147)/A128</f>
        <v>3.1286003666114643E-3</v>
      </c>
      <c r="F128" s="3">
        <f t="shared" si="3"/>
        <v>6.2572007332229286E-3</v>
      </c>
      <c r="G128" s="121">
        <f>IF((('Raw Data'!C128)/('Raw Data'!C$136)*100)&lt;0,0,('Raw Data'!C128)/('Raw Data'!C$136)*100)</f>
        <v>99.236047584774042</v>
      </c>
      <c r="H128" s="121">
        <f t="shared" si="4"/>
        <v>0.23954440138439281</v>
      </c>
      <c r="I128" s="118">
        <f t="shared" si="5"/>
        <v>4.035570486924378E-2</v>
      </c>
      <c r="J128" s="3">
        <f>'Raw Data'!F128/I128</f>
        <v>5.9358249883267079E-2</v>
      </c>
      <c r="K128" s="27">
        <f t="shared" si="6"/>
        <v>57.027166362262825</v>
      </c>
      <c r="L128" s="121">
        <f>A128*Table!$AC$9/$AC$16</f>
        <v>6578.0213477024736</v>
      </c>
      <c r="M128" s="121">
        <f>A128*Table!$AD$9/$AC$16</f>
        <v>2255.3216049265625</v>
      </c>
      <c r="N128" s="121">
        <f>ABS(A128*Table!$AE$9/$AC$16)</f>
        <v>2848.3667968733462</v>
      </c>
      <c r="O128" s="121">
        <f>($L128*(Table!$AC$10/Table!$AC$9)/(Table!$AC$12-Table!$AC$14))</f>
        <v>14109.869900691709</v>
      </c>
      <c r="P128" s="121">
        <f>ROUND(($N128*(Table!$AE$10/Table!$AE$9)/(Table!$AC$12-Table!$AC$13)),2)</f>
        <v>23385.61</v>
      </c>
      <c r="Q128" s="121">
        <f>'Raw Data'!C128</f>
        <v>1.532798821185728</v>
      </c>
      <c r="R128" s="121">
        <f>'Raw Data'!C128/'Raw Data'!I$30*100</f>
        <v>13.895090289470321</v>
      </c>
      <c r="S128" s="156">
        <f t="shared" si="7"/>
        <v>2.8352490421455483E-2</v>
      </c>
      <c r="T128" s="156">
        <f t="shared" si="8"/>
        <v>2.1044178466489427E-7</v>
      </c>
      <c r="U128" s="29">
        <f t="shared" si="9"/>
        <v>4.7430193805340584E-4</v>
      </c>
      <c r="V128" s="29">
        <f t="shared" si="10"/>
        <v>9.553922857736516E-4</v>
      </c>
      <c r="W128" s="29">
        <f t="shared" si="11"/>
        <v>3.4689769099287889E-8</v>
      </c>
      <c r="X128" s="93">
        <f t="shared" si="12"/>
        <v>0.31447606851401527</v>
      </c>
      <c r="Z128" s="143"/>
      <c r="AS128" s="19"/>
      <c r="AT128" s="19"/>
    </row>
    <row r="129" spans="1:46" x14ac:dyDescent="0.2">
      <c r="A129" s="121">
        <v>31993.05859375</v>
      </c>
      <c r="B129" s="143">
        <v>0.99411003236245965</v>
      </c>
      <c r="C129" s="143">
        <f t="shared" si="1"/>
        <v>5.8899676375403498E-3</v>
      </c>
      <c r="D129" s="16">
        <f t="shared" si="2"/>
        <v>1.7475728155340597E-3</v>
      </c>
      <c r="E129" s="3">
        <f>(2*Table!$AC$16*0.147)/A129</f>
        <v>2.864842853227822E-3</v>
      </c>
      <c r="F129" s="3">
        <f t="shared" si="3"/>
        <v>5.729685706455644E-3</v>
      </c>
      <c r="G129" s="121">
        <f>IF((('Raw Data'!C129)/('Raw Data'!C$136)*100)&lt;0,0,('Raw Data'!C129)/('Raw Data'!C$136)*100)</f>
        <v>99.410850256054573</v>
      </c>
      <c r="H129" s="121">
        <f t="shared" si="4"/>
        <v>0.17480267128053129</v>
      </c>
      <c r="I129" s="118">
        <f t="shared" si="5"/>
        <v>3.8249287491315176E-2</v>
      </c>
      <c r="J129" s="3">
        <f>'Raw Data'!F129/I129</f>
        <v>4.5700896080800905E-2</v>
      </c>
      <c r="K129" s="27">
        <f t="shared" si="6"/>
        <v>62.277487013560908</v>
      </c>
      <c r="L129" s="121">
        <f>A129*Table!$AC$9/$AC$16</f>
        <v>7183.6400997745786</v>
      </c>
      <c r="M129" s="121">
        <f>A129*Table!$AD$9/$AC$16</f>
        <v>2462.9623199227126</v>
      </c>
      <c r="N129" s="121">
        <f>ABS(A129*Table!$AE$9/$AC$16)</f>
        <v>3110.6074090246825</v>
      </c>
      <c r="O129" s="121">
        <f>($L129*(Table!$AC$10/Table!$AC$9)/(Table!$AC$12-Table!$AC$14))</f>
        <v>15408.923422939897</v>
      </c>
      <c r="P129" s="121">
        <f>ROUND(($N129*(Table!$AE$10/Table!$AE$9)/(Table!$AC$12-Table!$AC$13)),2)</f>
        <v>25538.65</v>
      </c>
      <c r="Q129" s="121">
        <f>'Raw Data'!C129</f>
        <v>1.5354988211857281</v>
      </c>
      <c r="R129" s="121">
        <f>'Raw Data'!C129/'Raw Data'!I$30*100</f>
        <v>13.91956626326612</v>
      </c>
      <c r="S129" s="156">
        <f t="shared" si="7"/>
        <v>2.0689655172414737E-2</v>
      </c>
      <c r="T129" s="156">
        <f t="shared" si="8"/>
        <v>1.4294591743624352E-7</v>
      </c>
      <c r="U129" s="29">
        <f t="shared" si="9"/>
        <v>4.3508082300031716E-4</v>
      </c>
      <c r="V129" s="29">
        <f t="shared" si="10"/>
        <v>8.2564749301279388E-4</v>
      </c>
      <c r="W129" s="29">
        <f t="shared" si="11"/>
        <v>2.1225839414717852E-8</v>
      </c>
      <c r="X129" s="93">
        <f t="shared" si="12"/>
        <v>0.31447608973985469</v>
      </c>
      <c r="Z129" s="143"/>
      <c r="AS129" s="19"/>
      <c r="AT129" s="19"/>
    </row>
    <row r="130" spans="1:46" x14ac:dyDescent="0.2">
      <c r="A130" s="121">
        <v>34988.01171875</v>
      </c>
      <c r="B130" s="143">
        <v>0.99566343042071204</v>
      </c>
      <c r="C130" s="143">
        <f t="shared" si="1"/>
        <v>4.3365695792879633E-3</v>
      </c>
      <c r="D130" s="16">
        <f t="shared" si="2"/>
        <v>1.5533980582523865E-3</v>
      </c>
      <c r="E130" s="3">
        <f>(2*Table!$AC$16*0.147)/A130</f>
        <v>2.6196139981308477E-3</v>
      </c>
      <c r="F130" s="3">
        <f t="shared" si="3"/>
        <v>5.2392279962616955E-3</v>
      </c>
      <c r="G130" s="121">
        <f>IF((('Raw Data'!C130)/('Raw Data'!C$136)*100)&lt;0,0,('Raw Data'!C130)/('Raw Data'!C$136)*100)</f>
        <v>99.566230408303909</v>
      </c>
      <c r="H130" s="121">
        <f t="shared" si="4"/>
        <v>0.15538015224933588</v>
      </c>
      <c r="I130" s="118">
        <f t="shared" si="5"/>
        <v>3.8863501914433218E-2</v>
      </c>
      <c r="J130" s="3">
        <f>'Raw Data'!F130/I130</f>
        <v>3.9980996203441685E-2</v>
      </c>
      <c r="K130" s="27">
        <f t="shared" si="6"/>
        <v>68.10744396506189</v>
      </c>
      <c r="L130" s="121">
        <f>A130*Table!$AC$9/$AC$16</f>
        <v>7856.1192659240187</v>
      </c>
      <c r="M130" s="121">
        <f>A130*Table!$AD$9/$AC$16</f>
        <v>2693.5266054596636</v>
      </c>
      <c r="N130" s="121">
        <f>ABS(A130*Table!$AE$9/$AC$16)</f>
        <v>3401.7994297252785</v>
      </c>
      <c r="O130" s="121">
        <f>($L130*(Table!$AC$10/Table!$AC$9)/(Table!$AC$12-Table!$AC$14))</f>
        <v>16851.3926767997</v>
      </c>
      <c r="P130" s="121">
        <f>ROUND(($N130*(Table!$AE$10/Table!$AE$9)/(Table!$AC$12-Table!$AC$13)),2)</f>
        <v>27929.39</v>
      </c>
      <c r="Q130" s="121">
        <f>'Raw Data'!C130</f>
        <v>1.5378988211857281</v>
      </c>
      <c r="R130" s="121">
        <f>'Raw Data'!C130/'Raw Data'!I$30*100</f>
        <v>13.941322684417939</v>
      </c>
      <c r="S130" s="156">
        <f t="shared" si="7"/>
        <v>1.8390804597700674E-2</v>
      </c>
      <c r="T130" s="156">
        <f t="shared" si="8"/>
        <v>9.2781282656773101E-8</v>
      </c>
      <c r="U130" s="29">
        <f t="shared" si="9"/>
        <v>3.9845998670872784E-4</v>
      </c>
      <c r="V130" s="29">
        <f t="shared" si="10"/>
        <v>7.1157953725063672E-4</v>
      </c>
      <c r="W130" s="29">
        <f t="shared" si="11"/>
        <v>1.5775580457937719E-8</v>
      </c>
      <c r="X130" s="93">
        <f t="shared" si="12"/>
        <v>0.31447610551543514</v>
      </c>
      <c r="Z130" s="143"/>
      <c r="AS130" s="19"/>
      <c r="AT130" s="19"/>
    </row>
    <row r="131" spans="1:46" x14ac:dyDescent="0.2">
      <c r="A131" s="121">
        <v>38288.109375</v>
      </c>
      <c r="B131" s="143">
        <v>0.99702265372168286</v>
      </c>
      <c r="C131" s="143">
        <f t="shared" si="1"/>
        <v>2.9773462783171389E-3</v>
      </c>
      <c r="D131" s="16">
        <f t="shared" si="2"/>
        <v>1.3592233009708243E-3</v>
      </c>
      <c r="E131" s="3">
        <f>(2*Table!$AC$16*0.147)/A131</f>
        <v>2.393826353960671E-3</v>
      </c>
      <c r="F131" s="3">
        <f t="shared" si="3"/>
        <v>4.7876527079213421E-3</v>
      </c>
      <c r="G131" s="121">
        <f>IF((('Raw Data'!C131)/('Raw Data'!C$136)*100)&lt;0,0,('Raw Data'!C131)/('Raw Data'!C$136)*100)</f>
        <v>99.702188041522092</v>
      </c>
      <c r="H131" s="121">
        <f t="shared" si="4"/>
        <v>0.1359576332181831</v>
      </c>
      <c r="I131" s="118">
        <f t="shared" si="5"/>
        <v>3.9144658575929636E-2</v>
      </c>
      <c r="J131" s="3">
        <f>'Raw Data'!F131/I131</f>
        <v>3.4732103475741384E-2</v>
      </c>
      <c r="K131" s="27">
        <f t="shared" si="6"/>
        <v>74.531393345467251</v>
      </c>
      <c r="L131" s="121">
        <f>A131*Table!$AC$9/$AC$16</f>
        <v>8597.1148099149523</v>
      </c>
      <c r="M131" s="121">
        <f>A131*Table!$AD$9/$AC$16</f>
        <v>2947.5822205422696</v>
      </c>
      <c r="N131" s="121">
        <f>ABS(A131*Table!$AE$9/$AC$16)</f>
        <v>3722.6599123188876</v>
      </c>
      <c r="O131" s="121">
        <f>($L131*(Table!$AC$10/Table!$AC$9)/(Table!$AC$12-Table!$AC$14))</f>
        <v>18440.829708097284</v>
      </c>
      <c r="P131" s="121">
        <f>ROUND(($N131*(Table!$AE$10/Table!$AE$9)/(Table!$AC$12-Table!$AC$13)),2)</f>
        <v>30563.71</v>
      </c>
      <c r="Q131" s="121">
        <f>'Raw Data'!C131</f>
        <v>1.5399988211857281</v>
      </c>
      <c r="R131" s="121">
        <f>'Raw Data'!C131/'Raw Data'!I$30*100</f>
        <v>13.96035955292578</v>
      </c>
      <c r="S131" s="156">
        <f t="shared" si="7"/>
        <v>1.6091954022987926E-2</v>
      </c>
      <c r="T131" s="156">
        <f t="shared" si="8"/>
        <v>5.6127703373931581E-8</v>
      </c>
      <c r="U131" s="29">
        <f t="shared" si="9"/>
        <v>3.6461344738116311E-4</v>
      </c>
      <c r="V131" s="29">
        <f t="shared" si="10"/>
        <v>6.1239545776424313E-4</v>
      </c>
      <c r="W131" s="29">
        <f t="shared" si="11"/>
        <v>1.1526675945521561E-8</v>
      </c>
      <c r="X131" s="93">
        <f t="shared" si="12"/>
        <v>0.31447611704211109</v>
      </c>
      <c r="Z131" s="143"/>
      <c r="AS131" s="19"/>
      <c r="AT131" s="19"/>
    </row>
    <row r="132" spans="1:46" x14ac:dyDescent="0.2">
      <c r="A132" s="121">
        <v>41879.390625</v>
      </c>
      <c r="B132" s="143">
        <v>0.99799352750809067</v>
      </c>
      <c r="C132" s="143">
        <f t="shared" si="1"/>
        <v>2.006472491909328E-3</v>
      </c>
      <c r="D132" s="16">
        <f t="shared" si="2"/>
        <v>9.7087378640781097E-4</v>
      </c>
      <c r="E132" s="3">
        <f>(2*Table!$AC$16*0.147)/A132</f>
        <v>2.1885486846241245E-3</v>
      </c>
      <c r="F132" s="3">
        <f t="shared" si="3"/>
        <v>4.3770973692482491E-3</v>
      </c>
      <c r="G132" s="121">
        <f>IF((('Raw Data'!C132)/('Raw Data'!C$136)*100)&lt;0,0,('Raw Data'!C132)/('Raw Data'!C$136)*100)</f>
        <v>99.799300636677941</v>
      </c>
      <c r="H132" s="121">
        <f t="shared" si="4"/>
        <v>9.7112595155849135E-2</v>
      </c>
      <c r="I132" s="118">
        <f t="shared" si="5"/>
        <v>3.8936431868136889E-2</v>
      </c>
      <c r="J132" s="3">
        <f>'Raw Data'!F132/I132</f>
        <v>2.4941318579147161E-2</v>
      </c>
      <c r="K132" s="27">
        <f t="shared" si="6"/>
        <v>81.52215888148298</v>
      </c>
      <c r="L132" s="121">
        <f>A132*Table!$AC$9/$AC$16</f>
        <v>9403.4919783082387</v>
      </c>
      <c r="M132" s="121">
        <f>A132*Table!$AD$9/$AC$16</f>
        <v>3224.0543925628244</v>
      </c>
      <c r="N132" s="121">
        <f>ABS(A132*Table!$AE$9/$AC$16)</f>
        <v>4071.8314687490606</v>
      </c>
      <c r="O132" s="121">
        <f>($L132*(Table!$AC$10/Table!$AC$9)/(Table!$AC$12-Table!$AC$14))</f>
        <v>20170.510463981638</v>
      </c>
      <c r="P132" s="121">
        <f>ROUND(($N132*(Table!$AE$10/Table!$AE$9)/(Table!$AC$12-Table!$AC$13)),2)</f>
        <v>33430.47</v>
      </c>
      <c r="Q132" s="121">
        <f>'Raw Data'!C132</f>
        <v>1.5414988211857281</v>
      </c>
      <c r="R132" s="121">
        <f>'Raw Data'!C132/'Raw Data'!I$30*100</f>
        <v>13.973957316145668</v>
      </c>
      <c r="S132" s="156">
        <f t="shared" si="7"/>
        <v>1.1494252873563744E-2</v>
      </c>
      <c r="T132" s="156">
        <f t="shared" si="8"/>
        <v>3.4244268531935518E-8</v>
      </c>
      <c r="U132" s="29">
        <f t="shared" si="9"/>
        <v>3.3367145766929765E-4</v>
      </c>
      <c r="V132" s="29">
        <f t="shared" si="10"/>
        <v>5.2711505917811823E-4</v>
      </c>
      <c r="W132" s="29">
        <f t="shared" si="11"/>
        <v>6.8818180243824786E-9</v>
      </c>
      <c r="X132" s="93">
        <f t="shared" si="12"/>
        <v>0.3144761239239291</v>
      </c>
      <c r="Z132" s="143"/>
      <c r="AS132" s="19"/>
      <c r="AT132" s="19"/>
    </row>
    <row r="133" spans="1:46" x14ac:dyDescent="0.2">
      <c r="A133" s="121">
        <v>45776.18359375</v>
      </c>
      <c r="B133" s="143">
        <v>0.99883495145631063</v>
      </c>
      <c r="C133" s="143">
        <f t="shared" si="1"/>
        <v>1.1650485436893732E-3</v>
      </c>
      <c r="D133" s="16">
        <f t="shared" si="2"/>
        <v>8.4142394821995481E-4</v>
      </c>
      <c r="E133" s="3">
        <f>(2*Table!$AC$16*0.147)/A133</f>
        <v>2.0022439196464088E-3</v>
      </c>
      <c r="F133" s="3">
        <f t="shared" si="3"/>
        <v>4.0044878392928177E-3</v>
      </c>
      <c r="G133" s="121">
        <f>IF((('Raw Data'!C133)/('Raw Data'!C$136)*100)&lt;0,0,('Raw Data'!C133)/('Raw Data'!C$136)*100)</f>
        <v>99.883464885812984</v>
      </c>
      <c r="H133" s="121">
        <f t="shared" si="4"/>
        <v>8.4164249135042724E-2</v>
      </c>
      <c r="I133" s="118">
        <f t="shared" si="5"/>
        <v>3.8639228523719371E-2</v>
      </c>
      <c r="J133" s="3">
        <f>'Raw Data'!F133/I133</f>
        <v>2.1782072870163288E-2</v>
      </c>
      <c r="K133" s="27">
        <f t="shared" si="6"/>
        <v>89.107631611285456</v>
      </c>
      <c r="L133" s="121">
        <f>A133*Table!$AC$9/$AC$16</f>
        <v>10278.467971891443</v>
      </c>
      <c r="M133" s="121">
        <f>A133*Table!$AD$9/$AC$16</f>
        <v>3524.046161791352</v>
      </c>
      <c r="N133" s="121">
        <f>ABS(A133*Table!$AE$9/$AC$16)</f>
        <v>4450.7071878213537</v>
      </c>
      <c r="O133" s="121">
        <f>($L133*(Table!$AC$10/Table!$AC$9)/(Table!$AC$12-Table!$AC$14))</f>
        <v>22047.335847042996</v>
      </c>
      <c r="P133" s="121">
        <f>ROUND(($N133*(Table!$AE$10/Table!$AE$9)/(Table!$AC$12-Table!$AC$13)),2)</f>
        <v>36541.11</v>
      </c>
      <c r="Q133" s="121">
        <f>'Raw Data'!C133</f>
        <v>1.542798821185728</v>
      </c>
      <c r="R133" s="121">
        <f>'Raw Data'!C133/'Raw Data'!I$30*100</f>
        <v>13.985742044269569</v>
      </c>
      <c r="S133" s="156">
        <f t="shared" si="7"/>
        <v>9.9616858237534921E-3</v>
      </c>
      <c r="T133" s="156">
        <f t="shared" si="8"/>
        <v>1.8370167942372007E-8</v>
      </c>
      <c r="U133" s="29">
        <f t="shared" si="9"/>
        <v>3.0552442222769958E-4</v>
      </c>
      <c r="V133" s="29">
        <f t="shared" si="10"/>
        <v>4.5413561877071846E-4</v>
      </c>
      <c r="W133" s="29">
        <f t="shared" si="11"/>
        <v>4.9920257929967821E-9</v>
      </c>
      <c r="X133" s="93">
        <f t="shared" si="12"/>
        <v>0.31447612891595489</v>
      </c>
      <c r="Z133" s="143"/>
      <c r="AS133" s="19"/>
      <c r="AT133" s="19"/>
    </row>
    <row r="134" spans="1:46" x14ac:dyDescent="0.2">
      <c r="A134" s="121">
        <v>50071.6796875</v>
      </c>
      <c r="B134" s="143">
        <v>1</v>
      </c>
      <c r="C134" s="143">
        <f t="shared" si="1"/>
        <v>0</v>
      </c>
      <c r="D134" s="16">
        <f t="shared" si="2"/>
        <v>1.1650485436893732E-3</v>
      </c>
      <c r="E134" s="3">
        <f>(2*Table!$AC$16*0.147)/A134</f>
        <v>1.8304775441372822E-3</v>
      </c>
      <c r="F134" s="3">
        <f t="shared" si="3"/>
        <v>3.6609550882745643E-3</v>
      </c>
      <c r="G134" s="121">
        <f>IF((('Raw Data'!C134)/('Raw Data'!C$136)*100)&lt;0,0,('Raw Data'!C134)/('Raw Data'!C$136)*100)</f>
        <v>100</v>
      </c>
      <c r="H134" s="121">
        <f t="shared" si="4"/>
        <v>0.11653511418701612</v>
      </c>
      <c r="I134" s="118">
        <f t="shared" si="5"/>
        <v>3.8952578055865938E-2</v>
      </c>
      <c r="J134" s="3">
        <f>'Raw Data'!F134/I134</f>
        <v>2.9917176218702567E-2</v>
      </c>
      <c r="K134" s="27">
        <f t="shared" si="6"/>
        <v>97.469217341246804</v>
      </c>
      <c r="L134" s="121">
        <f>A134*Table!$AC$9/$AC$16</f>
        <v>11242.967752275545</v>
      </c>
      <c r="M134" s="121">
        <f>A134*Table!$AD$9/$AC$16</f>
        <v>3854.7318007801869</v>
      </c>
      <c r="N134" s="121">
        <f>ABS(A134*Table!$AE$9/$AC$16)</f>
        <v>4868.3478436999258</v>
      </c>
      <c r="O134" s="121">
        <f>($L134*(Table!$AC$10/Table!$AC$9)/(Table!$AC$12-Table!$AC$14))</f>
        <v>24116.189944820992</v>
      </c>
      <c r="P134" s="121">
        <f>ROUND(($N134*(Table!$AE$10/Table!$AE$9)/(Table!$AC$12-Table!$AC$13)),2)</f>
        <v>39970.019999999997</v>
      </c>
      <c r="Q134" s="121">
        <f>'Raw Data'!C134</f>
        <v>1.544598821185728</v>
      </c>
      <c r="R134" s="121">
        <f>'Raw Data'!C134/'Raw Data'!I$30*100</f>
        <v>14.002059360133433</v>
      </c>
      <c r="S134" s="156">
        <f t="shared" si="7"/>
        <v>1.3793103448276492E-2</v>
      </c>
      <c r="T134" s="156">
        <f t="shared" si="8"/>
        <v>0</v>
      </c>
      <c r="U134" s="29">
        <f t="shared" si="9"/>
        <v>2.7964029662118437E-4</v>
      </c>
      <c r="V134" s="29">
        <f t="shared" si="10"/>
        <v>3.9099668913398133E-4</v>
      </c>
      <c r="W134" s="29">
        <f t="shared" si="11"/>
        <v>5.776979378605188E-9</v>
      </c>
      <c r="X134" s="93">
        <f t="shared" si="12"/>
        <v>0.31447613469293428</v>
      </c>
      <c r="Z134" s="143"/>
      <c r="AS134" s="19"/>
      <c r="AT134" s="19"/>
    </row>
    <row r="135" spans="1:46" x14ac:dyDescent="0.2">
      <c r="A135" s="121">
        <v>54767.33984375</v>
      </c>
      <c r="B135" s="143">
        <v>1</v>
      </c>
      <c r="C135" s="143">
        <f t="shared" si="1"/>
        <v>0</v>
      </c>
      <c r="D135" s="16">
        <f t="shared" si="2"/>
        <v>0</v>
      </c>
      <c r="E135" s="3">
        <f>(2*Table!$AC$16*0.147)/A135</f>
        <v>1.6735354597592937E-3</v>
      </c>
      <c r="F135" s="3">
        <f t="shared" si="3"/>
        <v>3.3470709195185873E-3</v>
      </c>
      <c r="G135" s="121">
        <f>IF((('Raw Data'!C135)/('Raw Data'!C$136)*100)&lt;0,0,('Raw Data'!C135)/('Raw Data'!C$136)*100)</f>
        <v>100</v>
      </c>
      <c r="H135" s="121">
        <f t="shared" si="4"/>
        <v>0</v>
      </c>
      <c r="I135" s="118">
        <f t="shared" si="5"/>
        <v>3.8929486575198347E-2</v>
      </c>
      <c r="J135" s="3">
        <f>'Raw Data'!F135/I135</f>
        <v>0</v>
      </c>
      <c r="K135" s="27">
        <f t="shared" si="6"/>
        <v>106.60975992313308</v>
      </c>
      <c r="L135" s="121">
        <f>A135*Table!$AC$9/$AC$16</f>
        <v>12297.319354655348</v>
      </c>
      <c r="M135" s="121">
        <f>A135*Table!$AD$9/$AC$16</f>
        <v>4216.2237787389768</v>
      </c>
      <c r="N135" s="121">
        <f>ABS(A135*Table!$AE$9/$AC$16)</f>
        <v>5324.8954797907954</v>
      </c>
      <c r="O135" s="121">
        <f>($L135*(Table!$AC$10/Table!$AC$9)/(Table!$AC$12-Table!$AC$14))</f>
        <v>26377.776393512122</v>
      </c>
      <c r="P135" s="121">
        <f>ROUND(($N135*(Table!$AE$10/Table!$AE$9)/(Table!$AC$12-Table!$AC$13)),2)</f>
        <v>43718.35</v>
      </c>
      <c r="Q135" s="121">
        <f>'Raw Data'!C135</f>
        <v>1.544598821185728</v>
      </c>
      <c r="R135" s="121">
        <f>'Raw Data'!C135/'Raw Data'!I$30*100</f>
        <v>14.002059360133433</v>
      </c>
      <c r="S135" s="156">
        <f t="shared" si="7"/>
        <v>0</v>
      </c>
      <c r="T135" s="156">
        <f t="shared" si="8"/>
        <v>0</v>
      </c>
      <c r="U135" s="29">
        <f t="shared" si="9"/>
        <v>2.5566440510130668E-4</v>
      </c>
      <c r="V135" s="29">
        <f t="shared" si="10"/>
        <v>3.3600312619393792E-4</v>
      </c>
      <c r="W135" s="29">
        <f t="shared" si="11"/>
        <v>0</v>
      </c>
      <c r="X135" s="93">
        <f t="shared" si="12"/>
        <v>0.31447613469293428</v>
      </c>
      <c r="AS135" s="19"/>
      <c r="AT135" s="19"/>
    </row>
    <row r="136" spans="1:46" x14ac:dyDescent="0.2">
      <c r="A136" s="121">
        <v>59445.21875</v>
      </c>
      <c r="B136" s="143">
        <v>1</v>
      </c>
      <c r="C136" s="143">
        <f t="shared" si="1"/>
        <v>0</v>
      </c>
      <c r="D136" s="16">
        <f t="shared" si="2"/>
        <v>0</v>
      </c>
      <c r="E136" s="3">
        <f>(2*Table!$AC$16*0.147)/A136</f>
        <v>1.5418411638901343E-3</v>
      </c>
      <c r="F136" s="3">
        <f t="shared" si="3"/>
        <v>3.0836823277802686E-3</v>
      </c>
      <c r="G136" s="121">
        <f>IF((('Raw Data'!C136)/('Raw Data'!C$136)*100)&lt;0,0,('Raw Data'!C136)/('Raw Data'!C$136)*100)</f>
        <v>100</v>
      </c>
      <c r="H136" s="121">
        <f t="shared" si="4"/>
        <v>0</v>
      </c>
      <c r="I136" s="118">
        <f t="shared" si="5"/>
        <v>3.5595282621966984E-2</v>
      </c>
      <c r="J136" s="3">
        <f>'Raw Data'!F136/I136</f>
        <v>0</v>
      </c>
      <c r="K136" s="27">
        <f t="shared" si="6"/>
        <v>115.71568963539598</v>
      </c>
      <c r="L136" s="121">
        <f>A136*Table!$AC$9/$AC$16</f>
        <v>13347.678400332585</v>
      </c>
      <c r="M136" s="121">
        <f>A136*Table!$AD$9/$AC$16</f>
        <v>4576.3468801140289</v>
      </c>
      <c r="N136" s="121">
        <f>ABS(A136*Table!$AE$9/$AC$16)</f>
        <v>5779.7142881164291</v>
      </c>
      <c r="O136" s="121">
        <f>($L136*(Table!$AC$10/Table!$AC$9)/(Table!$AC$12-Table!$AC$14))</f>
        <v>28630.798799512198</v>
      </c>
      <c r="P136" s="121">
        <f>ROUND(($N136*(Table!$AE$10/Table!$AE$9)/(Table!$AC$12-Table!$AC$13)),2)</f>
        <v>47452.5</v>
      </c>
      <c r="Q136" s="121">
        <f>'Raw Data'!C136</f>
        <v>1.544598821185728</v>
      </c>
      <c r="R136" s="121">
        <f>'Raw Data'!C136/'Raw Data'!I$30*100</f>
        <v>14.002059360133433</v>
      </c>
      <c r="S136" s="156">
        <f t="shared" si="7"/>
        <v>0</v>
      </c>
      <c r="T136" s="156">
        <f t="shared" si="8"/>
        <v>0</v>
      </c>
      <c r="U136" s="29">
        <f t="shared" si="9"/>
        <v>2.3554559398662208E-4</v>
      </c>
      <c r="V136" s="29">
        <f t="shared" si="10"/>
        <v>2.9251739366469552E-4</v>
      </c>
      <c r="W136" s="29">
        <f t="shared" si="11"/>
        <v>0</v>
      </c>
      <c r="X136" s="93">
        <f t="shared" si="12"/>
        <v>0.31447613469293428</v>
      </c>
      <c r="AS136" s="19"/>
      <c r="AT136" s="19"/>
    </row>
    <row r="137" spans="1:46" x14ac:dyDescent="0.2">
      <c r="A137" s="121"/>
      <c r="B137" s="143"/>
      <c r="C137" s="143"/>
      <c r="D137" s="154"/>
      <c r="E137" s="154"/>
      <c r="F137" s="154"/>
      <c r="G137" s="154"/>
      <c r="H137" s="154"/>
      <c r="I137" s="154"/>
      <c r="J137" s="3"/>
      <c r="K137" s="105"/>
      <c r="L137" s="121"/>
      <c r="M137" s="121"/>
      <c r="N137" s="121"/>
      <c r="O137" s="121"/>
      <c r="P137" s="121"/>
      <c r="Q137" s="121"/>
      <c r="AS137" s="19"/>
      <c r="AT137" s="19"/>
    </row>
    <row r="138" spans="1:46" x14ac:dyDescent="0.2">
      <c r="A138" s="121"/>
      <c r="B138" s="143"/>
      <c r="C138" s="143"/>
      <c r="D138" s="154"/>
      <c r="E138" s="154"/>
      <c r="F138" s="154"/>
      <c r="G138" s="154"/>
      <c r="H138" s="154"/>
      <c r="I138" s="154"/>
      <c r="J138" s="3"/>
      <c r="K138" s="105"/>
      <c r="L138" s="121"/>
      <c r="M138" s="121"/>
      <c r="N138" s="121"/>
      <c r="O138" s="121"/>
      <c r="P138" s="121"/>
      <c r="Q138" s="121"/>
      <c r="AS138" s="19"/>
      <c r="AT138" s="19"/>
    </row>
    <row r="139" spans="1:46" x14ac:dyDescent="0.2">
      <c r="A139" s="121"/>
      <c r="B139" s="143"/>
      <c r="C139" s="143"/>
      <c r="D139" s="154"/>
      <c r="E139" s="154"/>
      <c r="F139" s="154"/>
      <c r="G139" s="154"/>
      <c r="H139" s="154"/>
      <c r="I139" s="154"/>
      <c r="J139" s="3"/>
      <c r="K139" s="105"/>
      <c r="L139" s="121"/>
      <c r="M139" s="121"/>
      <c r="N139" s="121"/>
      <c r="O139" s="121"/>
      <c r="P139" s="121"/>
      <c r="Q139" s="121"/>
      <c r="AS139" s="19"/>
      <c r="AT139" s="19"/>
    </row>
    <row r="140" spans="1:46" x14ac:dyDescent="0.2">
      <c r="A140" s="121"/>
      <c r="B140" s="143"/>
      <c r="C140" s="143"/>
      <c r="D140" s="154"/>
      <c r="E140" s="154"/>
      <c r="F140" s="154"/>
      <c r="G140" s="154"/>
      <c r="H140" s="154"/>
      <c r="I140" s="154"/>
      <c r="J140" s="3"/>
      <c r="K140" s="105"/>
      <c r="L140" s="121"/>
      <c r="M140" s="121"/>
      <c r="N140" s="121"/>
      <c r="O140" s="121"/>
      <c r="P140" s="121"/>
      <c r="Q140" s="121"/>
      <c r="AS140" s="19"/>
      <c r="AT140" s="19"/>
    </row>
    <row r="141" spans="1:46" x14ac:dyDescent="0.2">
      <c r="A141" s="121"/>
      <c r="B141" s="143"/>
      <c r="C141" s="143"/>
      <c r="D141" s="154"/>
      <c r="E141" s="154"/>
      <c r="F141" s="154"/>
      <c r="G141" s="154"/>
      <c r="H141" s="154"/>
      <c r="I141" s="154"/>
      <c r="J141" s="3"/>
      <c r="K141" s="105"/>
      <c r="L141" s="121"/>
      <c r="M141" s="121"/>
      <c r="N141" s="121"/>
      <c r="O141" s="121"/>
      <c r="P141" s="121"/>
      <c r="Q141" s="121"/>
      <c r="AS141" s="19"/>
      <c r="AT141" s="19"/>
    </row>
    <row r="142" spans="1:46" x14ac:dyDescent="0.2">
      <c r="A142" s="121"/>
      <c r="B142" s="143"/>
      <c r="C142" s="143"/>
      <c r="D142" s="154"/>
      <c r="E142" s="154"/>
      <c r="F142" s="154"/>
      <c r="G142" s="154"/>
      <c r="H142" s="154"/>
      <c r="I142" s="154"/>
      <c r="J142" s="3"/>
      <c r="K142" s="105"/>
      <c r="L142" s="121"/>
      <c r="M142" s="121"/>
      <c r="N142" s="121"/>
      <c r="O142" s="121"/>
      <c r="P142" s="121"/>
      <c r="Q142" s="121"/>
      <c r="AS142" s="19"/>
      <c r="AT142" s="19"/>
    </row>
    <row r="143" spans="1:46" x14ac:dyDescent="0.2">
      <c r="J143" s="3"/>
      <c r="AS143" s="19"/>
      <c r="AT143" s="19"/>
    </row>
    <row r="144" spans="1:46" x14ac:dyDescent="0.2">
      <c r="J144" s="3"/>
      <c r="AS144" s="19"/>
      <c r="AT144" s="19"/>
    </row>
    <row r="145" spans="10:46" x14ac:dyDescent="0.2">
      <c r="J145" s="3"/>
      <c r="AS145" s="19"/>
      <c r="AT145" s="19"/>
    </row>
    <row r="146" spans="10:46" x14ac:dyDescent="0.2">
      <c r="J146" s="3"/>
      <c r="AS146" s="19"/>
      <c r="AT146" s="19"/>
    </row>
    <row r="147" spans="10:46" x14ac:dyDescent="0.2">
      <c r="J147" s="3"/>
      <c r="AS147" s="19"/>
      <c r="AT147" s="19"/>
    </row>
    <row r="148" spans="10:46" x14ac:dyDescent="0.2">
      <c r="J148" s="3"/>
      <c r="AS148" s="19"/>
      <c r="AT148" s="19"/>
    </row>
    <row r="149" spans="10:46" x14ac:dyDescent="0.2">
      <c r="J149" s="3"/>
      <c r="AS149" s="19"/>
      <c r="AT149" s="19"/>
    </row>
    <row r="150" spans="10:46" x14ac:dyDescent="0.2">
      <c r="J150" s="3"/>
      <c r="AS150" s="19"/>
      <c r="AT150" s="19"/>
    </row>
    <row r="151" spans="10:46" x14ac:dyDescent="0.2">
      <c r="J151" s="3"/>
      <c r="AS151" s="19"/>
      <c r="AT151" s="19"/>
    </row>
    <row r="152" spans="10:46" x14ac:dyDescent="0.2">
      <c r="J152" s="3"/>
      <c r="AS152" s="19"/>
      <c r="AT152" s="19"/>
    </row>
    <row r="153" spans="10:46" x14ac:dyDescent="0.2">
      <c r="J153" s="3"/>
      <c r="AS153" s="19"/>
      <c r="AT153" s="19"/>
    </row>
    <row r="154" spans="10:46" x14ac:dyDescent="0.2">
      <c r="J154" s="3"/>
      <c r="AS154" s="19"/>
      <c r="AT154" s="19"/>
    </row>
    <row r="155" spans="10:46" x14ac:dyDescent="0.2">
      <c r="J155" s="3"/>
      <c r="AS155" s="19"/>
      <c r="AT155" s="19"/>
    </row>
    <row r="156" spans="10:46" x14ac:dyDescent="0.2">
      <c r="J156" s="3"/>
      <c r="AS156" s="19"/>
      <c r="AT156" s="19"/>
    </row>
    <row r="157" spans="10:46" x14ac:dyDescent="0.2">
      <c r="J157" s="3"/>
      <c r="AS157" s="19"/>
      <c r="AT157" s="19"/>
    </row>
    <row r="158" spans="10:46" x14ac:dyDescent="0.2">
      <c r="J158" s="3"/>
      <c r="AS158" s="19"/>
      <c r="AT158" s="19"/>
    </row>
    <row r="159" spans="10:46" x14ac:dyDescent="0.2">
      <c r="J159" s="3"/>
      <c r="AS159" s="19"/>
      <c r="AT159" s="19"/>
    </row>
    <row r="160" spans="10:46" x14ac:dyDescent="0.2">
      <c r="J160" s="3"/>
      <c r="AS160" s="19"/>
      <c r="AT160" s="19"/>
    </row>
    <row r="161" spans="10:46" x14ac:dyDescent="0.2">
      <c r="J161" s="3"/>
      <c r="AS161" s="19"/>
      <c r="AT161" s="19"/>
    </row>
    <row r="162" spans="10:46" x14ac:dyDescent="0.2">
      <c r="J162" s="3"/>
    </row>
    <row r="163" spans="10:46" x14ac:dyDescent="0.2">
      <c r="J163" s="3"/>
    </row>
    <row r="164" spans="10:46" x14ac:dyDescent="0.2">
      <c r="J164" s="3"/>
    </row>
    <row r="165" spans="10:46" x14ac:dyDescent="0.2">
      <c r="J165" s="3"/>
    </row>
    <row r="166" spans="10:46" x14ac:dyDescent="0.2">
      <c r="J166" s="3"/>
    </row>
    <row r="167" spans="10:46" x14ac:dyDescent="0.2">
      <c r="J167" s="3"/>
    </row>
    <row r="168" spans="10:46" x14ac:dyDescent="0.2">
      <c r="J168" s="3"/>
    </row>
    <row r="169" spans="10:46" x14ac:dyDescent="0.2">
      <c r="J169" s="3"/>
    </row>
    <row r="170" spans="10:46" x14ac:dyDescent="0.2">
      <c r="J170" s="3"/>
    </row>
    <row r="171" spans="10:46" x14ac:dyDescent="0.2">
      <c r="J171" s="3"/>
    </row>
    <row r="172" spans="10:46" x14ac:dyDescent="0.2">
      <c r="J172" s="3"/>
    </row>
    <row r="173" spans="10:46" x14ac:dyDescent="0.2">
      <c r="J173" s="3"/>
    </row>
    <row r="174" spans="10:46" x14ac:dyDescent="0.2">
      <c r="J174" s="3"/>
    </row>
    <row r="175" spans="10:46" x14ac:dyDescent="0.2">
      <c r="J175" s="3"/>
    </row>
    <row r="176" spans="10:46" x14ac:dyDescent="0.2">
      <c r="J176" s="3"/>
    </row>
    <row r="177" spans="10:10" x14ac:dyDescent="0.2">
      <c r="J177" s="3"/>
    </row>
    <row r="178" spans="10:10" x14ac:dyDescent="0.2">
      <c r="J178" s="3"/>
    </row>
    <row r="179" spans="10:10" x14ac:dyDescent="0.2">
      <c r="J179" s="3"/>
    </row>
    <row r="180" spans="10:10" x14ac:dyDescent="0.2">
      <c r="J180" s="3"/>
    </row>
    <row r="181" spans="10:10" x14ac:dyDescent="0.2">
      <c r="J181" s="3"/>
    </row>
    <row r="182" spans="10:10" x14ac:dyDescent="0.2">
      <c r="J182" s="3"/>
    </row>
    <row r="183" spans="10:10" x14ac:dyDescent="0.2">
      <c r="J183" s="3"/>
    </row>
    <row r="184" spans="10:10" x14ac:dyDescent="0.2">
      <c r="J184" s="3"/>
    </row>
    <row r="185" spans="10:10" x14ac:dyDescent="0.2">
      <c r="J185" s="3"/>
    </row>
    <row r="186" spans="10:10" x14ac:dyDescent="0.2">
      <c r="J186" s="3"/>
    </row>
    <row r="187" spans="10:10" x14ac:dyDescent="0.2">
      <c r="J187" s="3"/>
    </row>
    <row r="188" spans="10:10" x14ac:dyDescent="0.2">
      <c r="J188" s="3"/>
    </row>
    <row r="189" spans="10:10" x14ac:dyDescent="0.2">
      <c r="J189" s="3"/>
    </row>
    <row r="190" spans="10:10" x14ac:dyDescent="0.2">
      <c r="J190" s="3"/>
    </row>
  </sheetData>
  <mergeCells count="3">
    <mergeCell ref="AR4:AT4"/>
    <mergeCell ref="AN4:AP4"/>
    <mergeCell ref="A5:P5"/>
  </mergeCells>
  <printOptions horizontalCentered="1"/>
  <pageMargins left="0.5" right="0.5" top="0.1" bottom="0.25" header="0" footer="0"/>
  <pageSetup scale="37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Raw Data</vt:lpstr>
      <vt:lpstr>Compilation</vt:lpstr>
      <vt:lpstr>Compilation 2</vt:lpstr>
      <vt:lpstr>Table</vt:lpstr>
      <vt:lpstr>Compilation!Print_Area</vt:lpstr>
      <vt:lpstr>'Compilation 2'!Print_Area</vt:lpstr>
      <vt:lpstr>'Raw Data'!Print_Area</vt:lpstr>
      <vt:lpstr>Table!Print_Area</vt:lpstr>
      <vt:lpstr>'Raw Data'!Print_Titles</vt:lpstr>
      <vt:lpstr>Table!Print_Titles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Badgett, Simon J</cp:lastModifiedBy>
  <dcterms:created xsi:type="dcterms:W3CDTF">2013-03-19T19:19:25Z</dcterms:created>
  <dcterms:modified xsi:type="dcterms:W3CDTF">2013-03-19T19:19:26Z</dcterms:modified>
</cp:coreProperties>
</file>